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425" activeTab="6"/>
  </bookViews>
  <sheets>
    <sheet name="ИБР 2021" sheetId="1" r:id="rId1"/>
    <sheet name="ИНП 2021" sheetId="2" r:id="rId2"/>
    <sheet name="Дот2021" sheetId="3" r:id="rId3"/>
    <sheet name="ИБР 2022" sheetId="4" r:id="rId4"/>
    <sheet name="ИНП 2022" sheetId="5" r:id="rId5"/>
    <sheet name="Дот2022" sheetId="6" r:id="rId6"/>
    <sheet name="ИБР 2023" sheetId="7" r:id="rId7"/>
    <sheet name="ИНП 2023" sheetId="8" r:id="rId8"/>
    <sheet name="Дот2023" sheetId="9" r:id="rId9"/>
  </sheets>
  <externalReferences>
    <externalReference r:id="rId12"/>
    <externalReference r:id="rId13"/>
  </externalReferences>
  <definedNames>
    <definedName name="lst2">'[1]rr'!$D$5:$E$46</definedName>
    <definedName name="vb">'[1]rr'!$D$3</definedName>
    <definedName name="_xlnm.Print_Titles" localSheetId="2">'Дот2021'!$A:$B</definedName>
    <definedName name="_xlnm.Print_Titles" localSheetId="5">'Дот2022'!$A:$B</definedName>
    <definedName name="_xlnm.Print_Titles" localSheetId="8">'Дот2023'!$A:$B</definedName>
    <definedName name="_xlnm.Print_Titles" localSheetId="0">'ИБР 2021'!$A:$B</definedName>
    <definedName name="_xlnm.Print_Titles" localSheetId="3">'ИБР 2022'!$A:$B</definedName>
    <definedName name="_xlnm.Print_Titles" localSheetId="6">'ИБР 2023'!$A:$B</definedName>
    <definedName name="_xlnm.Print_Titles" localSheetId="1">'ИНП 2021'!$A:$B</definedName>
    <definedName name="_xlnm.Print_Titles" localSheetId="4">'ИНП 2022'!$A:$B</definedName>
    <definedName name="_xlnm.Print_Titles" localSheetId="7">'ИНП 2023'!$A:$B</definedName>
    <definedName name="_xlnm.Print_Area" localSheetId="2">'Дот2021'!$A$1:$H$16</definedName>
    <definedName name="_xlnm.Print_Area" localSheetId="5">'Дот2022'!$A$1:$H$16</definedName>
    <definedName name="_xlnm.Print_Area" localSheetId="8">'Дот2023'!$A$1:$H$16</definedName>
    <definedName name="_xlnm.Print_Area" localSheetId="0">'ИБР 2021'!$A$1:$Y$16</definedName>
    <definedName name="_xlnm.Print_Area" localSheetId="3">'ИБР 2022'!$A$1:$Y$16</definedName>
    <definedName name="_xlnm.Print_Area" localSheetId="6">'ИБР 2023'!$A$1:$Y$16</definedName>
    <definedName name="_xlnm.Print_Area" localSheetId="1">'ИНП 2021'!$A$1:$X$16</definedName>
    <definedName name="_xlnm.Print_Area" localSheetId="4">'ИНП 2022'!$A$1:$X$16</definedName>
    <definedName name="_xlnm.Print_Area" localSheetId="7">'ИНП 2023'!$A$1:$X$16</definedName>
  </definedNames>
  <calcPr fullCalcOnLoad="1"/>
</workbook>
</file>

<file path=xl/comments3.xml><?xml version="1.0" encoding="utf-8"?>
<comments xmlns="http://schemas.openxmlformats.org/spreadsheetml/2006/main">
  <authors>
    <author>МФ</author>
  </authors>
  <commentList>
    <comment ref="G5" authorId="0">
      <text>
        <r>
          <rPr>
            <sz val="8"/>
            <rFont val="Tahoma"/>
            <family val="2"/>
          </rPr>
          <t>Занесите в ячейку уровень, выбранный в качестве критерия выравнивания (например, 1 или 0,85, или 1,15 или любой другой )</t>
        </r>
      </text>
    </comment>
    <comment ref="G18" authorId="0">
      <text>
        <r>
          <rPr>
            <b/>
            <sz val="8"/>
            <rFont val="Tahoma"/>
            <family val="2"/>
          </rPr>
          <t>З</t>
        </r>
        <r>
          <rPr>
            <sz val="8"/>
            <rFont val="Tahoma"/>
            <family val="2"/>
          </rPr>
          <t>анесите в ячейку прогнозный объем налоговых и неналоговых доходов поселений</t>
        </r>
      </text>
    </comment>
    <comment ref="H5" authorId="0">
      <text>
        <r>
          <rPr>
            <sz val="8"/>
            <rFont val="Tahoma"/>
            <family val="2"/>
          </rPr>
          <t>Занесите в ячейку общую сумму распределяемых дотаций</t>
        </r>
      </text>
    </comment>
  </commentList>
</comments>
</file>

<file path=xl/comments6.xml><?xml version="1.0" encoding="utf-8"?>
<comments xmlns="http://schemas.openxmlformats.org/spreadsheetml/2006/main">
  <authors>
    <author>МФ</author>
  </authors>
  <commentList>
    <comment ref="G5" authorId="0">
      <text>
        <r>
          <rPr>
            <sz val="8"/>
            <rFont val="Tahoma"/>
            <family val="2"/>
          </rPr>
          <t>Занесите в ячейку уровень, выбранный в качестве критерия выравнивания (например, 1 или 0,85, или 1,15 или любой другой )</t>
        </r>
      </text>
    </comment>
    <comment ref="H5" authorId="0">
      <text>
        <r>
          <rPr>
            <sz val="8"/>
            <rFont val="Tahoma"/>
            <family val="2"/>
          </rPr>
          <t>Занесите в ячейку общую сумму распределяемых дотаций</t>
        </r>
      </text>
    </comment>
    <comment ref="G18" authorId="0">
      <text>
        <r>
          <rPr>
            <b/>
            <sz val="8"/>
            <rFont val="Tahoma"/>
            <family val="2"/>
          </rPr>
          <t>З</t>
        </r>
        <r>
          <rPr>
            <sz val="8"/>
            <rFont val="Tahoma"/>
            <family val="2"/>
          </rPr>
          <t>анесите в ячейку прогнозный объем налоговых и неналоговых доходов поселений</t>
        </r>
      </text>
    </comment>
  </commentList>
</comments>
</file>

<file path=xl/comments9.xml><?xml version="1.0" encoding="utf-8"?>
<comments xmlns="http://schemas.openxmlformats.org/spreadsheetml/2006/main">
  <authors>
    <author>МФ</author>
  </authors>
  <commentList>
    <comment ref="G5" authorId="0">
      <text>
        <r>
          <rPr>
            <sz val="8"/>
            <rFont val="Tahoma"/>
            <family val="2"/>
          </rPr>
          <t>Занесите в ячейку уровень, выбранный в качестве критерия выравнивания (например, 1 или 0,85, или 1,15 или любой другой )</t>
        </r>
      </text>
    </comment>
    <comment ref="H5" authorId="0">
      <text>
        <r>
          <rPr>
            <sz val="8"/>
            <rFont val="Tahoma"/>
            <family val="2"/>
          </rPr>
          <t>Занесите в ячейку общую сумму распределяемых дотаций</t>
        </r>
      </text>
    </comment>
    <comment ref="G18" authorId="0">
      <text>
        <r>
          <rPr>
            <b/>
            <sz val="8"/>
            <rFont val="Tahoma"/>
            <family val="2"/>
          </rPr>
          <t>З</t>
        </r>
        <r>
          <rPr>
            <sz val="8"/>
            <rFont val="Tahoma"/>
            <family val="2"/>
          </rPr>
          <t>анесите в ячейку прогнозный объем налоговых и неналоговых доходов поселений</t>
        </r>
      </text>
    </comment>
  </commentList>
</comments>
</file>

<file path=xl/sharedStrings.xml><?xml version="1.0" encoding="utf-8"?>
<sst xmlns="http://schemas.openxmlformats.org/spreadsheetml/2006/main" count="426" uniqueCount="76">
  <si>
    <t>№</t>
  </si>
  <si>
    <t>Поселения</t>
  </si>
  <si>
    <t>Числен-ность постоян-ного населения, чел</t>
  </si>
  <si>
    <t>НДФЛ</t>
  </si>
  <si>
    <t>Налог на имущество физлиц</t>
  </si>
  <si>
    <t>Земельный налог</t>
  </si>
  <si>
    <t>Единый сельхозналог</t>
  </si>
  <si>
    <t>Суммарный налоговый потенциал поселений</t>
  </si>
  <si>
    <t>База налого-обложения (ФОТ)</t>
  </si>
  <si>
    <t>Расчетная ставка</t>
  </si>
  <si>
    <t>Х</t>
  </si>
  <si>
    <t>ИТОГО</t>
  </si>
  <si>
    <t>База налого-обложения</t>
  </si>
  <si>
    <t>Сводный индекс бюджет-ных расходов</t>
  </si>
  <si>
    <t>Бюджетная обеспе-ченность</t>
  </si>
  <si>
    <t>Потреб-ность в средствах для вырав-нивания</t>
  </si>
  <si>
    <t>Прогноз налоговых и неналоговых доходов поселений</t>
  </si>
  <si>
    <t>Расчетный объем дотации на вырав-нивание</t>
  </si>
  <si>
    <t>Индекс бюджетных расходов</t>
  </si>
  <si>
    <t>тыс. руб.</t>
  </si>
  <si>
    <t>в том числе:</t>
  </si>
  <si>
    <t>В насе-ленных пунктах с числен-ностью менее 500 чел.</t>
  </si>
  <si>
    <t>Тарифы на ЖКУ</t>
  </si>
  <si>
    <t>Коэффициенты</t>
  </si>
  <si>
    <t>Условные потребители</t>
  </si>
  <si>
    <t>Отраслевые индексы бюджетных расходов</t>
  </si>
  <si>
    <t>город-ское</t>
  </si>
  <si>
    <t>стоимость тепла за 1 Гкал в месяц, руб</t>
  </si>
  <si>
    <t>стоимость 1 куб.м воды в месяц, руб.</t>
  </si>
  <si>
    <t>Лимиты потребления тепла</t>
  </si>
  <si>
    <t>Затраты на тепло</t>
  </si>
  <si>
    <t>масштаба</t>
  </si>
  <si>
    <t>дисперс-ности расселе-ния</t>
  </si>
  <si>
    <t>уровня урбаниза-ции</t>
  </si>
  <si>
    <t>стоимо-сти комму-нальных услуг</t>
  </si>
  <si>
    <t>Местное самоупра-вление</t>
  </si>
  <si>
    <t>Коммунальное хозяйство</t>
  </si>
  <si>
    <t>Дорожное хозяйство</t>
  </si>
  <si>
    <t>Культура</t>
  </si>
  <si>
    <t>Прочие расходы</t>
  </si>
  <si>
    <t>Прогноз доходов всего (с учетом дотации на выравнивание)</t>
  </si>
  <si>
    <t>Разрыв</t>
  </si>
  <si>
    <t>Прогноз доходов поселений (налоговые, неналоговые, дотация за счет субвенций из областного бюжета)</t>
  </si>
  <si>
    <t>Прогноз расходов поселений</t>
  </si>
  <si>
    <t>Дотация бюджетам поселений за счет субвенций из областного бюджета</t>
  </si>
  <si>
    <t>Доходный потенциал поселений</t>
  </si>
  <si>
    <t>Доходный потенциал на 1 жителя</t>
  </si>
  <si>
    <t>Индекс доходного потенциала</t>
  </si>
  <si>
    <t>Б.Карабулакское МО</t>
  </si>
  <si>
    <t>Свободинское МО</t>
  </si>
  <si>
    <t>Алексеевское МО</t>
  </si>
  <si>
    <t>Большечечуйское МО</t>
  </si>
  <si>
    <t>Липовское МО</t>
  </si>
  <si>
    <t>Максимовское МО</t>
  </si>
  <si>
    <t>Старобурасское МО</t>
  </si>
  <si>
    <t>Старожуковское МО</t>
  </si>
  <si>
    <t>Шняевсое МО</t>
  </si>
  <si>
    <t>Яковлевское МО</t>
  </si>
  <si>
    <t>Расчет индекса бюджетных расходов на 2021 год</t>
  </si>
  <si>
    <t>Расчет индекса бюджетных расходов на 2022 год</t>
  </si>
  <si>
    <t>Расчет индекса налогового потенциала на 2022 год</t>
  </si>
  <si>
    <t>Расчет дотации на выравнивание на 2022 год</t>
  </si>
  <si>
    <t>Прогноз налога на 2020 год в консолиди-рованный бюджет района</t>
  </si>
  <si>
    <t>Прогноз налога на 2020 год, 100%</t>
  </si>
  <si>
    <t>Прогноз налога на 2020 год в доле поселений</t>
  </si>
  <si>
    <t>Прогноз налога на 2021 год в консолиди-рованный бюджет района</t>
  </si>
  <si>
    <t>Прогноз налога на 2021 год, 100%</t>
  </si>
  <si>
    <t>Прогноз налога на 2021 год в доле поселений</t>
  </si>
  <si>
    <t>Прогноз налога на 2022 год в консолиди-рованный бюджет района</t>
  </si>
  <si>
    <t>Прогноз налога на 2022 год, 100%</t>
  </si>
  <si>
    <t>Прогноз налога на 2022 год в доле поселений</t>
  </si>
  <si>
    <t>Расчет индекса налогового потенциала на 2021год</t>
  </si>
  <si>
    <t>Расчет дотации на выравнивание на 2021год</t>
  </si>
  <si>
    <t>Расчет индекса налогового потенциала на 2023 год</t>
  </si>
  <si>
    <t>Расчет дотации на выравнивание на 2023 год</t>
  </si>
  <si>
    <t>Расчет индекса бюджетных расходов на 2023 год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</si>
</sst>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_ ;[Red]\-#,##0\ "/>
    <numFmt numFmtId="174" formatCode="#,##0.0_ ;[Red]\-#,##0.0\ "/>
    <numFmt numFmtId="175" formatCode="0.000"/>
    <numFmt numFmtId="176" formatCode="#,##0.00_ ;[Red]\-#,##0.00\ "/>
    <numFmt numFmtId="177" formatCode="#,##0.0"/>
    <numFmt numFmtId="178" formatCode="0.0000"/>
    <numFmt numFmtId="179" formatCode="#,##0.000"/>
    <numFmt numFmtId="180" formatCode="0.000000"/>
    <numFmt numFmtId="181" formatCode="0.00000"/>
    <numFmt numFmtId="182" formatCode="#,##0.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%"/>
    <numFmt numFmtId="188" formatCode="#,##0.0000"/>
    <numFmt numFmtId="189" formatCode="#,##0.00000"/>
    <numFmt numFmtId="190" formatCode="0.000%"/>
    <numFmt numFmtId="191" formatCode="0.0000%"/>
    <numFmt numFmtId="192" formatCode="0.00000%"/>
    <numFmt numFmtId="193" formatCode="0.0000000"/>
    <numFmt numFmtId="194" formatCode="0.00000000"/>
    <numFmt numFmtId="195" formatCode="0.000000000"/>
    <numFmt numFmtId="196" formatCode="0.0000000000"/>
    <numFmt numFmtId="197" formatCode="##,###,###,###,###,###,###"/>
    <numFmt numFmtId="198" formatCode="0.0000E+00"/>
    <numFmt numFmtId="199" formatCode="0.00000E+00"/>
    <numFmt numFmtId="200" formatCode="0.000000E+00"/>
    <numFmt numFmtId="201" formatCode="0.0000000E+00"/>
    <numFmt numFmtId="202" formatCode="#,##0.0;[Red]#,##0.0"/>
    <numFmt numFmtId="203" formatCode="#,##0.0_);\(#,##0.0\)"/>
    <numFmt numFmtId="204" formatCode="[$-FC19]d\ mmmm\ yyyy\ &quot;г.&quot;"/>
    <numFmt numFmtId="205" formatCode="#,##0.000_ ;[Red]\-#,##0.000\ "/>
    <numFmt numFmtId="206" formatCode="#,##0.0000_ ;[Red]\-#,##0.0000\ "/>
    <numFmt numFmtId="207" formatCode="#,##0.00000_ ;[Red]\-#,##0.00000\ "/>
    <numFmt numFmtId="208" formatCode="#,##0.000000_ ;[Red]\-#,##0.000000\ "/>
    <numFmt numFmtId="209" formatCode="#,##0.0000000_ ;[Red]\-#,##0.0000000\ "/>
    <numFmt numFmtId="210" formatCode="#,##0.00000000_ ;[Red]\-#,##0.00000000\ "/>
    <numFmt numFmtId="211" formatCode="#,##0.000000000_ ;[Red]\-#,##0.000000000\ "/>
    <numFmt numFmtId="212" formatCode="#,##0.0000000000_ ;[Red]\-#,##0.0000000000\ "/>
    <numFmt numFmtId="213" formatCode="0.00000000000"/>
  </numFmts>
  <fonts count="47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57">
      <alignment/>
      <protection/>
    </xf>
    <xf numFmtId="0" fontId="6" fillId="0" borderId="0" xfId="55" applyFont="1" applyAlignment="1">
      <alignment wrapText="1"/>
      <protection/>
    </xf>
    <xf numFmtId="0" fontId="3" fillId="0" borderId="10" xfId="56" applyFill="1" applyBorder="1" applyAlignment="1">
      <alignment horizontal="center" vertical="top" wrapText="1"/>
      <protection/>
    </xf>
    <xf numFmtId="0" fontId="3" fillId="33" borderId="10" xfId="57" applyFill="1" applyBorder="1">
      <alignment/>
      <protection/>
    </xf>
    <xf numFmtId="0" fontId="3" fillId="33" borderId="0" xfId="57" applyFill="1">
      <alignment/>
      <protection/>
    </xf>
    <xf numFmtId="0" fontId="5" fillId="0" borderId="10" xfId="0" applyFont="1" applyFill="1" applyBorder="1" applyAlignment="1">
      <alignment/>
    </xf>
    <xf numFmtId="0" fontId="5" fillId="0" borderId="10" xfId="33" applyFont="1" applyFill="1" applyBorder="1">
      <alignment/>
      <protection/>
    </xf>
    <xf numFmtId="3" fontId="5" fillId="34" borderId="10" xfId="55" applyNumberFormat="1" applyFont="1" applyFill="1" applyBorder="1">
      <alignment/>
      <protection/>
    </xf>
    <xf numFmtId="177" fontId="5" fillId="34" borderId="10" xfId="33" applyNumberFormat="1" applyFont="1" applyFill="1" applyBorder="1">
      <alignment/>
      <protection/>
    </xf>
    <xf numFmtId="177" fontId="5" fillId="35" borderId="10" xfId="33" applyNumberFormat="1" applyFont="1" applyFill="1" applyBorder="1" applyAlignment="1">
      <alignment horizontal="center"/>
      <protection/>
    </xf>
    <xf numFmtId="177" fontId="5" fillId="0" borderId="10" xfId="33" applyNumberFormat="1" applyFont="1" applyFill="1" applyBorder="1">
      <alignment/>
      <protection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177" fontId="6" fillId="0" borderId="10" xfId="0" applyNumberFormat="1" applyFont="1" applyBorder="1" applyAlignment="1">
      <alignment/>
    </xf>
    <xf numFmtId="0" fontId="8" fillId="0" borderId="11" xfId="57" applyFont="1" applyBorder="1" applyAlignment="1">
      <alignment horizontal="center" vertical="center" wrapText="1"/>
      <protection/>
    </xf>
    <xf numFmtId="0" fontId="3" fillId="34" borderId="10" xfId="57" applyFill="1" applyBorder="1">
      <alignment/>
      <protection/>
    </xf>
    <xf numFmtId="177" fontId="5" fillId="0" borderId="10" xfId="55" applyNumberFormat="1" applyFont="1" applyFill="1" applyBorder="1">
      <alignment/>
      <protection/>
    </xf>
    <xf numFmtId="0" fontId="3" fillId="0" borderId="0" xfId="57" applyAlignment="1">
      <alignment horizontal="right"/>
      <protection/>
    </xf>
    <xf numFmtId="0" fontId="5" fillId="0" borderId="0" xfId="55" applyFont="1">
      <alignment/>
      <protection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12" xfId="57" applyFont="1" applyBorder="1" applyAlignment="1">
      <alignment horizontal="center" vertical="center" wrapText="1"/>
      <protection/>
    </xf>
    <xf numFmtId="0" fontId="8" fillId="36" borderId="10" xfId="57" applyFont="1" applyFill="1" applyBorder="1" applyAlignment="1">
      <alignment horizontal="center" vertical="center" wrapText="1"/>
      <protection/>
    </xf>
    <xf numFmtId="0" fontId="3" fillId="36" borderId="10" xfId="57" applyFill="1" applyBorder="1">
      <alignment/>
      <protection/>
    </xf>
    <xf numFmtId="10" fontId="3" fillId="34" borderId="10" xfId="62" applyNumberFormat="1" applyFont="1" applyFill="1" applyBorder="1" applyAlignment="1">
      <alignment/>
    </xf>
    <xf numFmtId="4" fontId="5" fillId="34" borderId="10" xfId="55" applyNumberFormat="1" applyFont="1" applyFill="1" applyBorder="1">
      <alignment/>
      <protection/>
    </xf>
    <xf numFmtId="3" fontId="5" fillId="36" borderId="10" xfId="55" applyNumberFormat="1" applyFont="1" applyFill="1" applyBorder="1">
      <alignment/>
      <protection/>
    </xf>
    <xf numFmtId="189" fontId="5" fillId="36" borderId="10" xfId="55" applyNumberFormat="1" applyFont="1" applyFill="1" applyBorder="1">
      <alignment/>
      <protection/>
    </xf>
    <xf numFmtId="179" fontId="5" fillId="0" borderId="10" xfId="55" applyNumberFormat="1" applyFont="1" applyFill="1" applyBorder="1">
      <alignment/>
      <protection/>
    </xf>
    <xf numFmtId="179" fontId="7" fillId="0" borderId="10" xfId="55" applyNumberFormat="1" applyFont="1" applyFill="1" applyBorder="1">
      <alignment/>
      <protection/>
    </xf>
    <xf numFmtId="3" fontId="8" fillId="0" borderId="10" xfId="57" applyNumberFormat="1" applyFont="1" applyFill="1" applyBorder="1">
      <alignment/>
      <protection/>
    </xf>
    <xf numFmtId="3" fontId="8" fillId="36" borderId="10" xfId="57" applyNumberFormat="1" applyFont="1" applyFill="1" applyBorder="1">
      <alignment/>
      <protection/>
    </xf>
    <xf numFmtId="4" fontId="8" fillId="36" borderId="10" xfId="57" applyNumberFormat="1" applyFont="1" applyFill="1" applyBorder="1">
      <alignment/>
      <protection/>
    </xf>
    <xf numFmtId="177" fontId="7" fillId="0" borderId="10" xfId="55" applyNumberFormat="1" applyFont="1" applyFill="1" applyBorder="1">
      <alignment/>
      <protection/>
    </xf>
    <xf numFmtId="177" fontId="7" fillId="0" borderId="0" xfId="55" applyNumberFormat="1" applyFont="1" applyFill="1" applyBorder="1">
      <alignment/>
      <protection/>
    </xf>
    <xf numFmtId="177" fontId="5" fillId="0" borderId="0" xfId="55" applyNumberFormat="1" applyFont="1" applyFill="1" applyBorder="1">
      <alignment/>
      <protection/>
    </xf>
    <xf numFmtId="179" fontId="5" fillId="0" borderId="10" xfId="33" applyNumberFormat="1" applyFont="1" applyFill="1" applyBorder="1">
      <alignment/>
      <protection/>
    </xf>
    <xf numFmtId="179" fontId="6" fillId="0" borderId="10" xfId="55" applyNumberFormat="1" applyFont="1" applyFill="1" applyBorder="1">
      <alignment/>
      <protection/>
    </xf>
    <xf numFmtId="179" fontId="6" fillId="0" borderId="10" xfId="33" applyNumberFormat="1" applyFont="1" applyFill="1" applyBorder="1">
      <alignment/>
      <protection/>
    </xf>
    <xf numFmtId="177" fontId="6" fillId="0" borderId="10" xfId="55" applyNumberFormat="1" applyFont="1" applyFill="1" applyBorder="1">
      <alignment/>
      <protection/>
    </xf>
    <xf numFmtId="177" fontId="3" fillId="0" borderId="10" xfId="57" applyNumberFormat="1" applyBorder="1">
      <alignment/>
      <protection/>
    </xf>
    <xf numFmtId="177" fontId="3" fillId="34" borderId="10" xfId="57" applyNumberFormat="1" applyFill="1" applyBorder="1">
      <alignment/>
      <protection/>
    </xf>
    <xf numFmtId="177" fontId="6" fillId="0" borderId="10" xfId="33" applyNumberFormat="1" applyFont="1" applyFill="1" applyBorder="1">
      <alignment/>
      <protection/>
    </xf>
    <xf numFmtId="3" fontId="6" fillId="0" borderId="10" xfId="0" applyNumberFormat="1" applyFont="1" applyBorder="1" applyAlignment="1">
      <alignment/>
    </xf>
    <xf numFmtId="177" fontId="3" fillId="0" borderId="0" xfId="57" applyNumberFormat="1">
      <alignment/>
      <protection/>
    </xf>
    <xf numFmtId="172" fontId="0" fillId="0" borderId="10" xfId="54" applyNumberFormat="1" applyBorder="1">
      <alignment/>
      <protection/>
    </xf>
    <xf numFmtId="0" fontId="3" fillId="0" borderId="10" xfId="56" applyFont="1" applyFill="1" applyBorder="1" applyAlignment="1">
      <alignment horizontal="center" vertical="top" wrapText="1"/>
      <protection/>
    </xf>
    <xf numFmtId="172" fontId="3" fillId="34" borderId="10" xfId="57" applyNumberFormat="1" applyFill="1" applyBorder="1">
      <alignment/>
      <protection/>
    </xf>
    <xf numFmtId="0" fontId="12" fillId="0" borderId="0" xfId="57" applyFont="1">
      <alignment/>
      <protection/>
    </xf>
    <xf numFmtId="3" fontId="5" fillId="0" borderId="10" xfId="55" applyNumberFormat="1" applyFont="1" applyFill="1" applyBorder="1">
      <alignment/>
      <protection/>
    </xf>
    <xf numFmtId="177" fontId="3" fillId="37" borderId="0" xfId="57" applyNumberFormat="1" applyFill="1">
      <alignment/>
      <protection/>
    </xf>
    <xf numFmtId="177" fontId="11" fillId="37" borderId="0" xfId="57" applyNumberFormat="1" applyFont="1" applyFill="1">
      <alignment/>
      <protection/>
    </xf>
    <xf numFmtId="0" fontId="11" fillId="37" borderId="0" xfId="57" applyFont="1" applyFill="1">
      <alignment/>
      <protection/>
    </xf>
    <xf numFmtId="177" fontId="5" fillId="34" borderId="10" xfId="33" applyNumberFormat="1" applyFont="1" applyFill="1" applyBorder="1">
      <alignment/>
      <protection/>
    </xf>
    <xf numFmtId="177" fontId="5" fillId="0" borderId="10" xfId="33" applyNumberFormat="1" applyFont="1" applyFill="1" applyBorder="1">
      <alignment/>
      <protection/>
    </xf>
    <xf numFmtId="0" fontId="3" fillId="2" borderId="0" xfId="57" applyFill="1">
      <alignment/>
      <protection/>
    </xf>
    <xf numFmtId="177" fontId="5" fillId="35" borderId="10" xfId="33" applyNumberFormat="1" applyFont="1" applyFill="1" applyBorder="1" applyAlignment="1">
      <alignment horizontal="center"/>
      <protection/>
    </xf>
    <xf numFmtId="177" fontId="5" fillId="34" borderId="10" xfId="33" applyNumberFormat="1" applyFont="1" applyFill="1" applyBorder="1">
      <alignment/>
      <protection/>
    </xf>
    <xf numFmtId="0" fontId="11" fillId="0" borderId="0" xfId="57" applyFont="1">
      <alignment/>
      <protection/>
    </xf>
    <xf numFmtId="177" fontId="5" fillId="34" borderId="10" xfId="33" applyNumberFormat="1" applyFont="1" applyFill="1" applyBorder="1">
      <alignment/>
      <protection/>
    </xf>
    <xf numFmtId="0" fontId="6" fillId="0" borderId="0" xfId="55" applyFont="1" applyAlignment="1">
      <alignment horizontal="center"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11" xfId="57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0" fontId="8" fillId="0" borderId="14" xfId="57" applyFont="1" applyBorder="1" applyAlignment="1">
      <alignment horizontal="center" vertical="center" wrapText="1"/>
      <protection/>
    </xf>
    <xf numFmtId="0" fontId="8" fillId="0" borderId="12" xfId="57" applyFont="1" applyBorder="1" applyAlignment="1">
      <alignment horizontal="center" vertical="center" wrapText="1"/>
      <protection/>
    </xf>
    <xf numFmtId="0" fontId="8" fillId="0" borderId="15" xfId="57" applyFont="1" applyBorder="1" applyAlignment="1">
      <alignment horizontal="center" vertical="center" wrapText="1"/>
      <protection/>
    </xf>
    <xf numFmtId="0" fontId="8" fillId="0" borderId="11" xfId="57" applyFont="1" applyBorder="1" applyAlignment="1">
      <alignment horizontal="center" vertical="center" wrapText="1"/>
      <protection/>
    </xf>
    <xf numFmtId="0" fontId="8" fillId="0" borderId="13" xfId="57" applyFont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56" applyFont="1" applyFill="1" applyBorder="1" applyAlignment="1">
      <alignment horizontal="center" vertical="center" wrapText="1"/>
      <protection/>
    </xf>
    <xf numFmtId="0" fontId="8" fillId="0" borderId="10" xfId="57" applyFont="1" applyFill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Regional Data for IGR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Местные бюджеты 2006 - расчет МБТ(2 чтение)" xfId="55"/>
    <cellStyle name="Обычный_налоговый потенциал_2009_2011" xfId="56"/>
    <cellStyle name="Обычный_Поселения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sk%20c\P\&#1053;&#1072;&#1083;&#1086;&#1075;&#1086;&#1074;&#1099;&#1081;%20&#1087;&#1086;&#1090;&#1077;&#1085;&#1094;&#1080;&#1072;&#1083;%202005\svp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app02\Sliv\Orsuf\&#1062;&#1060;&#1055;%20&#1072;&#1087;&#1088;&#1077;&#1083;&#1100;%202005\&#1053;&#1072;&#1096;&#1080;%20&#1076;&#1072;&#1085;&#1085;&#1099;&#1077;\2006\&#1052;&#1077;&#1089;&#1090;&#1085;&#1099;&#1077;%20&#1073;&#1102;&#1076;&#1078;&#1077;&#1090;&#1099;%202006%20-%20&#1088;&#1072;&#1089;&#1095;&#1077;&#1090;%20&#1052;&#1041;&#1058;(2%20&#1095;&#1090;&#1077;&#1085;&#1080;&#107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1"/>
      <sheetName val="НДФЛ"/>
      <sheetName val="НИФЛ"/>
      <sheetName val="ЕСХН"/>
      <sheetName val="ЗН"/>
      <sheetName val="sv"/>
      <sheetName val="np"/>
      <sheetName val="МР_ГО"/>
      <sheetName val="rr"/>
    </sheetNames>
    <sheetDataSet>
      <sheetData sheetId="9">
        <row r="3">
          <cell r="D3">
            <v>39</v>
          </cell>
        </row>
        <row r="5">
          <cell r="D5" t="str">
            <v>1 Александрово-Гайский</v>
          </cell>
          <cell r="E5">
            <v>7</v>
          </cell>
        </row>
        <row r="6">
          <cell r="D6" t="str">
            <v>2 Аркадакский</v>
          </cell>
          <cell r="E6">
            <v>7</v>
          </cell>
        </row>
        <row r="7">
          <cell r="D7" t="str">
            <v>3 Базарно-Карабулакский</v>
          </cell>
          <cell r="E7">
            <v>13</v>
          </cell>
        </row>
        <row r="8">
          <cell r="D8" t="str">
            <v>4 Балтайский</v>
          </cell>
          <cell r="E8">
            <v>4</v>
          </cell>
        </row>
        <row r="9">
          <cell r="D9" t="str">
            <v>5 Воскресенский</v>
          </cell>
          <cell r="E9">
            <v>3</v>
          </cell>
        </row>
        <row r="10">
          <cell r="D10" t="str">
            <v>6 Дергачевский</v>
          </cell>
          <cell r="E10">
            <v>13</v>
          </cell>
        </row>
        <row r="11">
          <cell r="D11" t="str">
            <v>7 Духовницкий</v>
          </cell>
          <cell r="E11">
            <v>7</v>
          </cell>
        </row>
        <row r="12">
          <cell r="D12" t="str">
            <v>8 Екатериновский</v>
          </cell>
          <cell r="E12">
            <v>14</v>
          </cell>
        </row>
        <row r="13">
          <cell r="D13" t="str">
            <v>9 Ершовский</v>
          </cell>
          <cell r="E13">
            <v>15</v>
          </cell>
        </row>
        <row r="14">
          <cell r="D14" t="str">
            <v>10 Ивантеевский</v>
          </cell>
          <cell r="E14">
            <v>9</v>
          </cell>
        </row>
        <row r="15">
          <cell r="D15" t="str">
            <v>11 Калининский</v>
          </cell>
          <cell r="E15">
            <v>13</v>
          </cell>
        </row>
        <row r="16">
          <cell r="D16" t="str">
            <v>12 Краснокутский</v>
          </cell>
          <cell r="E16">
            <v>13</v>
          </cell>
        </row>
        <row r="17">
          <cell r="D17" t="str">
            <v>13 Краснопартизанский</v>
          </cell>
          <cell r="E17">
            <v>8</v>
          </cell>
        </row>
        <row r="18">
          <cell r="D18" t="str">
            <v>14 Лысогорский</v>
          </cell>
          <cell r="E18">
            <v>11</v>
          </cell>
        </row>
        <row r="19">
          <cell r="D19" t="str">
            <v>15 Новобурасский</v>
          </cell>
          <cell r="E19">
            <v>8</v>
          </cell>
        </row>
        <row r="20">
          <cell r="D20" t="str">
            <v>16 Новоузенский </v>
          </cell>
          <cell r="E20">
            <v>12</v>
          </cell>
        </row>
        <row r="21">
          <cell r="D21" t="str">
            <v>17 Озинский</v>
          </cell>
          <cell r="E21">
            <v>11</v>
          </cell>
        </row>
        <row r="22">
          <cell r="D22" t="str">
            <v>18 Перелюбский</v>
          </cell>
          <cell r="E22">
            <v>12</v>
          </cell>
        </row>
        <row r="23">
          <cell r="D23" t="str">
            <v>19 Питерский</v>
          </cell>
          <cell r="E23">
            <v>8</v>
          </cell>
        </row>
        <row r="24">
          <cell r="D24" t="str">
            <v>20 Ровенский</v>
          </cell>
          <cell r="E24">
            <v>8</v>
          </cell>
        </row>
        <row r="25">
          <cell r="D25" t="str">
            <v>21 Романовский</v>
          </cell>
          <cell r="E25">
            <v>8</v>
          </cell>
        </row>
        <row r="26">
          <cell r="D26" t="str">
            <v>22 Самойловский</v>
          </cell>
          <cell r="E26">
            <v>8</v>
          </cell>
        </row>
        <row r="27">
          <cell r="D27" t="str">
            <v>23 Саратовский</v>
          </cell>
          <cell r="E27">
            <v>12</v>
          </cell>
        </row>
        <row r="28">
          <cell r="D28" t="str">
            <v>24 Советский</v>
          </cell>
          <cell r="E28">
            <v>9</v>
          </cell>
        </row>
        <row r="29">
          <cell r="D29" t="str">
            <v>25 Татищевский</v>
          </cell>
          <cell r="E29">
            <v>11</v>
          </cell>
        </row>
        <row r="30">
          <cell r="D30" t="str">
            <v>26 Турковский</v>
          </cell>
          <cell r="E30">
            <v>9</v>
          </cell>
        </row>
        <row r="31">
          <cell r="D31" t="str">
            <v>27 Федоровский</v>
          </cell>
          <cell r="E31">
            <v>15</v>
          </cell>
        </row>
        <row r="32">
          <cell r="D32" t="str">
            <v>28 г.Аткарск</v>
          </cell>
          <cell r="E32">
            <v>15</v>
          </cell>
        </row>
        <row r="33">
          <cell r="D33" t="str">
            <v>29 г.Балаково</v>
          </cell>
          <cell r="E33">
            <v>18</v>
          </cell>
        </row>
        <row r="34">
          <cell r="D34" t="str">
            <v>30 г.Балашов</v>
          </cell>
          <cell r="E34">
            <v>16</v>
          </cell>
        </row>
        <row r="35">
          <cell r="D35" t="str">
            <v>31 г.Вольск</v>
          </cell>
          <cell r="E35">
            <v>15</v>
          </cell>
        </row>
        <row r="36">
          <cell r="D36" t="str">
            <v>32 г.Красноармейск</v>
          </cell>
          <cell r="E36">
            <v>19</v>
          </cell>
        </row>
        <row r="37">
          <cell r="D37" t="str">
            <v>33 г.Маркс</v>
          </cell>
          <cell r="E37">
            <v>7</v>
          </cell>
        </row>
        <row r="38">
          <cell r="D38" t="str">
            <v>34 г.Петровск</v>
          </cell>
          <cell r="E38">
            <v>6</v>
          </cell>
        </row>
        <row r="39">
          <cell r="D39" t="str">
            <v>35 г.Пугачев</v>
          </cell>
          <cell r="E39">
            <v>10</v>
          </cell>
        </row>
        <row r="40">
          <cell r="D40" t="str">
            <v>36 г.Ртищево</v>
          </cell>
          <cell r="E40">
            <v>7</v>
          </cell>
        </row>
        <row r="41">
          <cell r="D41" t="str">
            <v>39 г.Саратов</v>
          </cell>
          <cell r="E41">
            <v>1</v>
          </cell>
        </row>
        <row r="42">
          <cell r="D42" t="str">
            <v>38 г.Хвалынск</v>
          </cell>
          <cell r="E42">
            <v>9</v>
          </cell>
        </row>
        <row r="43">
          <cell r="D43" t="str">
            <v>39 г.Энгельс</v>
          </cell>
          <cell r="E43">
            <v>7</v>
          </cell>
        </row>
        <row r="44">
          <cell r="D44" t="str">
            <v>40 п.Светлый</v>
          </cell>
          <cell r="E44">
            <v>1</v>
          </cell>
        </row>
        <row r="45">
          <cell r="D45" t="str">
            <v>41 г.Шиханы</v>
          </cell>
          <cell r="E45">
            <v>1</v>
          </cell>
        </row>
        <row r="46">
          <cell r="D46" t="str">
            <v>42 п.Михайловский</v>
          </cell>
          <cell r="E4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"/>
      <sheetName val="МР_П"/>
      <sheetName val="Закреп"/>
      <sheetName val="N_НДФЛ"/>
      <sheetName val="N_НДФЛ (ОТ)"/>
      <sheetName val="ОТ_КБМР"/>
      <sheetName val="ОТ_БМР"/>
      <sheetName val="ОТ_БП"/>
      <sheetName val="Отчет 2004"/>
      <sheetName val="Душа"/>
      <sheetName val="Р_отр"/>
      <sheetName val="ИБР"/>
      <sheetName val="МБТ"/>
      <sheetName val="МБТ_2"/>
      <sheetName val="ИНП_МР"/>
      <sheetName val="ИНП_П"/>
      <sheetName val="НП1"/>
      <sheetName val="НП2"/>
      <sheetName val="НП3"/>
      <sheetName val="Дпрог"/>
    </sheetNames>
    <sheetDataSet>
      <sheetData sheetId="1">
        <row r="3">
          <cell r="C3" t="str">
            <v>Числен-ность постоян-ного населения, чел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33" sqref="P33"/>
    </sheetView>
  </sheetViews>
  <sheetFormatPr defaultColWidth="8.00390625" defaultRowHeight="12.75"/>
  <cols>
    <col min="1" max="1" width="3.25390625" style="1" customWidth="1"/>
    <col min="2" max="2" width="22.125" style="1" customWidth="1"/>
    <col min="3" max="5" width="8.75390625" style="19" customWidth="1"/>
    <col min="6" max="7" width="9.00390625" style="19" customWidth="1"/>
    <col min="8" max="10" width="8.75390625" style="19" hidden="1" customWidth="1"/>
    <col min="11" max="14" width="8.75390625" style="19" customWidth="1"/>
    <col min="15" max="15" width="9.875" style="19" customWidth="1"/>
    <col min="16" max="17" width="8.75390625" style="19" customWidth="1"/>
    <col min="18" max="18" width="9.625" style="19" customWidth="1"/>
    <col min="19" max="19" width="10.00390625" style="19" customWidth="1"/>
    <col min="20" max="25" width="8.75390625" style="19" customWidth="1"/>
    <col min="26" max="16384" width="8.00390625" style="1" customWidth="1"/>
  </cols>
  <sheetData>
    <row r="1" spans="2:25" ht="27" customHeight="1">
      <c r="B1" s="60" t="s">
        <v>58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11.25">
      <c r="Y2" s="1" t="s">
        <v>19</v>
      </c>
    </row>
    <row r="3" spans="1:25" ht="30.75" customHeight="1">
      <c r="A3" s="69" t="s">
        <v>0</v>
      </c>
      <c r="B3" s="69" t="s">
        <v>1</v>
      </c>
      <c r="C3" s="62" t="str">
        <f>'[2]МР_П'!C3</f>
        <v>Числен-ность постоян-ного населения, чел</v>
      </c>
      <c r="D3" s="20" t="s">
        <v>20</v>
      </c>
      <c r="E3" s="62" t="s">
        <v>21</v>
      </c>
      <c r="F3" s="61" t="s">
        <v>22</v>
      </c>
      <c r="G3" s="61"/>
      <c r="H3" s="21"/>
      <c r="I3" s="21"/>
      <c r="J3" s="21"/>
      <c r="K3" s="61" t="s">
        <v>23</v>
      </c>
      <c r="L3" s="61"/>
      <c r="M3" s="61"/>
      <c r="N3" s="61"/>
      <c r="O3" s="64" t="s">
        <v>24</v>
      </c>
      <c r="P3" s="65"/>
      <c r="Q3" s="65"/>
      <c r="R3" s="65"/>
      <c r="S3" s="66"/>
      <c r="T3" s="64" t="s">
        <v>25</v>
      </c>
      <c r="U3" s="65"/>
      <c r="V3" s="65"/>
      <c r="W3" s="65"/>
      <c r="X3" s="66"/>
      <c r="Y3" s="67" t="s">
        <v>13</v>
      </c>
    </row>
    <row r="4" spans="1:25" ht="56.25">
      <c r="A4" s="70"/>
      <c r="B4" s="70"/>
      <c r="C4" s="63"/>
      <c r="D4" s="20" t="s">
        <v>26</v>
      </c>
      <c r="E4" s="63"/>
      <c r="F4" s="20" t="s">
        <v>27</v>
      </c>
      <c r="G4" s="20" t="s">
        <v>28</v>
      </c>
      <c r="H4" s="22" t="s">
        <v>29</v>
      </c>
      <c r="I4" s="22" t="s">
        <v>30</v>
      </c>
      <c r="J4" s="22"/>
      <c r="K4" s="20" t="s">
        <v>31</v>
      </c>
      <c r="L4" s="20" t="s">
        <v>32</v>
      </c>
      <c r="M4" s="20" t="s">
        <v>33</v>
      </c>
      <c r="N4" s="20" t="s">
        <v>34</v>
      </c>
      <c r="O4" s="15" t="s">
        <v>35</v>
      </c>
      <c r="P4" s="15" t="s">
        <v>36</v>
      </c>
      <c r="Q4" s="15" t="s">
        <v>37</v>
      </c>
      <c r="R4" s="15" t="s">
        <v>38</v>
      </c>
      <c r="S4" s="15" t="s">
        <v>39</v>
      </c>
      <c r="T4" s="15" t="s">
        <v>35</v>
      </c>
      <c r="U4" s="15" t="s">
        <v>36</v>
      </c>
      <c r="V4" s="15" t="s">
        <v>37</v>
      </c>
      <c r="W4" s="15" t="s">
        <v>38</v>
      </c>
      <c r="X4" s="15" t="s">
        <v>39</v>
      </c>
      <c r="Y4" s="68"/>
    </row>
    <row r="5" spans="1:25" s="5" customFormat="1" ht="11.25">
      <c r="A5" s="4"/>
      <c r="B5" s="4"/>
      <c r="C5" s="4"/>
      <c r="D5" s="4"/>
      <c r="E5" s="4"/>
      <c r="F5" s="4"/>
      <c r="G5" s="4"/>
      <c r="H5" s="23"/>
      <c r="I5" s="23"/>
      <c r="J5" s="23"/>
      <c r="K5" s="4"/>
      <c r="L5" s="4"/>
      <c r="M5" s="4"/>
      <c r="N5" s="4"/>
      <c r="O5" s="4"/>
      <c r="P5" s="4"/>
      <c r="Q5" s="4"/>
      <c r="R5" s="4"/>
      <c r="S5" s="4"/>
      <c r="T5" s="24">
        <v>0.263</v>
      </c>
      <c r="U5" s="24">
        <v>0</v>
      </c>
      <c r="V5" s="24">
        <v>0</v>
      </c>
      <c r="W5" s="24">
        <v>0.322</v>
      </c>
      <c r="X5" s="24">
        <v>0.415</v>
      </c>
      <c r="Y5" s="4"/>
    </row>
    <row r="6" spans="1:25" ht="11.25">
      <c r="A6" s="6">
        <v>1</v>
      </c>
      <c r="B6" s="7" t="s">
        <v>48</v>
      </c>
      <c r="C6" s="49">
        <v>9407</v>
      </c>
      <c r="D6" s="8">
        <v>9407</v>
      </c>
      <c r="E6" s="8"/>
      <c r="F6" s="25">
        <v>2381.65</v>
      </c>
      <c r="G6" s="25">
        <v>47.18</v>
      </c>
      <c r="H6" s="26">
        <v>21467.3</v>
      </c>
      <c r="I6" s="26">
        <f aca="true" t="shared" si="0" ref="I6:I12">F6*H6</f>
        <v>51127595.045</v>
      </c>
      <c r="J6" s="27">
        <f>'ИБР 2021'!G6*'ИБР 2021'!H6/'ИБР 2021'!$H$16</f>
        <v>9.139472599463991</v>
      </c>
      <c r="K6" s="28">
        <f aca="true" t="shared" si="1" ref="K6:K15">IF(C6&lt;&gt;0,0.6+0.4*($C$16/COUNT($A$6:$A$15))/C6,0)</f>
        <v>0.7174742213245455</v>
      </c>
      <c r="L6" s="28">
        <f>IF(C6&lt;&gt;0,1+E6/C6,0)</f>
        <v>1</v>
      </c>
      <c r="M6" s="28">
        <f>IF(C6&lt;&gt;0,1+D6/C6,0)</f>
        <v>2</v>
      </c>
      <c r="N6" s="28">
        <f aca="true" t="shared" si="2" ref="N6:N16">IF($G$16&lt;&gt;0,0.9+0.1*(0.8*F6/$F$16+0.2*G6/$G$16),0)</f>
        <v>1</v>
      </c>
      <c r="O6" s="17">
        <f aca="true" t="shared" si="3" ref="O6:O16">C6*K6</f>
        <v>6749.28</v>
      </c>
      <c r="P6" s="17">
        <f>C6*L6*M6</f>
        <v>18814</v>
      </c>
      <c r="Q6" s="17">
        <f aca="true" t="shared" si="4" ref="Q6:Q16">C6*M6</f>
        <v>18814</v>
      </c>
      <c r="R6" s="17">
        <f aca="true" t="shared" si="5" ref="R6:R16">C6*K6*N6</f>
        <v>6749.28</v>
      </c>
      <c r="S6" s="17">
        <f aca="true" t="shared" si="6" ref="S6:S16">C6*L6</f>
        <v>9407</v>
      </c>
      <c r="T6" s="28">
        <f aca="true" t="shared" si="7" ref="T6:T16">IF(C6&lt;&gt;0,(O6/$C6)/(O$16/$C$16),0)</f>
        <v>0.7174742213245455</v>
      </c>
      <c r="U6" s="28">
        <f aca="true" t="shared" si="8" ref="U6:U16">IF(C6&lt;&gt;0,(P6/$C6)/(P$16/$C$16),0)</f>
        <v>1.2509785301031062</v>
      </c>
      <c r="V6" s="28">
        <f aca="true" t="shared" si="9" ref="V6:V16">IF(C6&lt;&gt;0,(Q6/$C6)/(Q$16/$C$16),0)</f>
        <v>1.4203747975630445</v>
      </c>
      <c r="W6" s="28">
        <f aca="true" t="shared" si="10" ref="W6:W16">IF(C6&lt;&gt;0,(R6/$C6)/(R$16/$C$16),0)</f>
        <v>0.7174742213245455</v>
      </c>
      <c r="X6" s="28">
        <f aca="true" t="shared" si="11" ref="X6:X16">IF(C6&lt;&gt;0,(S6/$C6)/(S$16/$C$16),0)</f>
        <v>0.8807383320581484</v>
      </c>
      <c r="Y6" s="29">
        <f>IF(SUM($T$5:$X$5)=1,T6*$T$5+U6*$U$5+V6*$V$5+W6*$W$5+X6*$X$5,0)</f>
        <v>0.7852288272789907</v>
      </c>
    </row>
    <row r="7" spans="1:25" ht="11.25">
      <c r="A7" s="6">
        <v>2</v>
      </c>
      <c r="B7" s="7" t="s">
        <v>49</v>
      </c>
      <c r="C7" s="49">
        <v>5336</v>
      </c>
      <c r="D7" s="8">
        <v>1867</v>
      </c>
      <c r="E7" s="8">
        <v>1327</v>
      </c>
      <c r="F7" s="25">
        <v>2381.65</v>
      </c>
      <c r="G7" s="25">
        <v>47.18</v>
      </c>
      <c r="H7" s="26">
        <v>13753.5</v>
      </c>
      <c r="I7" s="26">
        <f t="shared" si="0"/>
        <v>32756023.275000002</v>
      </c>
      <c r="J7" s="27">
        <f>'ИБР 2021'!G7*'ИБР 2021'!H7/'ИБР 2021'!$H$16</f>
        <v>5.855405029823406</v>
      </c>
      <c r="K7" s="28">
        <f t="shared" si="1"/>
        <v>0.8070989505247376</v>
      </c>
      <c r="L7" s="28">
        <f aca="true" t="shared" si="12" ref="L7:L15">IF(C7&lt;&gt;0,1+E7/C7,0)</f>
        <v>1.2486881559220389</v>
      </c>
      <c r="M7" s="28">
        <f aca="true" t="shared" si="13" ref="M7:M15">IF(C7&lt;&gt;0,1+D7/C7,0)</f>
        <v>1.349887556221889</v>
      </c>
      <c r="N7" s="28">
        <f t="shared" si="2"/>
        <v>1</v>
      </c>
      <c r="O7" s="17">
        <f t="shared" si="3"/>
        <v>4306.679999999999</v>
      </c>
      <c r="P7" s="17">
        <f aca="true" t="shared" si="14" ref="P7:P16">C7*L7*M7</f>
        <v>8994.300787106446</v>
      </c>
      <c r="Q7" s="17">
        <f t="shared" si="4"/>
        <v>7203</v>
      </c>
      <c r="R7" s="17">
        <f t="shared" si="5"/>
        <v>4306.679999999999</v>
      </c>
      <c r="S7" s="17">
        <f t="shared" si="6"/>
        <v>6662.999999999999</v>
      </c>
      <c r="T7" s="28">
        <f t="shared" si="7"/>
        <v>0.8070989505247376</v>
      </c>
      <c r="U7" s="28">
        <f t="shared" si="8"/>
        <v>1.0543175766453927</v>
      </c>
      <c r="V7" s="28">
        <f t="shared" si="9"/>
        <v>0.9586731322007693</v>
      </c>
      <c r="W7" s="28">
        <f t="shared" si="10"/>
        <v>0.8070989505247376</v>
      </c>
      <c r="X7" s="28">
        <f t="shared" si="11"/>
        <v>1.0997675237075417</v>
      </c>
      <c r="Y7" s="29">
        <f aca="true" t="shared" si="15" ref="Y7:Y16">IF(SUM($T$5:$X$5)=1,T7*$T$5+U7*$U$5+V7*$V$5+W7*$W$5+X7*$X$5,0)</f>
        <v>0.9285564083956013</v>
      </c>
    </row>
    <row r="8" spans="1:25" ht="11.25">
      <c r="A8" s="6">
        <v>3</v>
      </c>
      <c r="B8" s="7" t="s">
        <v>50</v>
      </c>
      <c r="C8" s="49">
        <v>2523</v>
      </c>
      <c r="D8" s="8"/>
      <c r="E8" s="8">
        <v>78</v>
      </c>
      <c r="F8" s="25">
        <v>2381.65</v>
      </c>
      <c r="G8" s="25">
        <v>47.18</v>
      </c>
      <c r="H8" s="26">
        <v>16300</v>
      </c>
      <c r="I8" s="26">
        <f t="shared" si="0"/>
        <v>38820895</v>
      </c>
      <c r="J8" s="27">
        <f>'ИБР 2021'!G8*'ИБР 2021'!H8/'ИБР 2021'!$H$16</f>
        <v>6.939550077152835</v>
      </c>
      <c r="K8" s="28">
        <f t="shared" si="1"/>
        <v>1.0380023781212842</v>
      </c>
      <c r="L8" s="28">
        <f t="shared" si="12"/>
        <v>1.0309155766944114</v>
      </c>
      <c r="M8" s="28">
        <f t="shared" si="13"/>
        <v>1</v>
      </c>
      <c r="N8" s="28">
        <f t="shared" si="2"/>
        <v>1</v>
      </c>
      <c r="O8" s="17">
        <f t="shared" si="3"/>
        <v>2618.88</v>
      </c>
      <c r="P8" s="17">
        <f t="shared" si="14"/>
        <v>2601</v>
      </c>
      <c r="Q8" s="17">
        <f t="shared" si="4"/>
        <v>2523</v>
      </c>
      <c r="R8" s="17">
        <f t="shared" si="5"/>
        <v>2618.88</v>
      </c>
      <c r="S8" s="17">
        <f t="shared" si="6"/>
        <v>2601</v>
      </c>
      <c r="T8" s="28">
        <f t="shared" si="7"/>
        <v>1.0380023781212842</v>
      </c>
      <c r="U8" s="28">
        <f t="shared" si="8"/>
        <v>0.6448266263967853</v>
      </c>
      <c r="V8" s="28">
        <f t="shared" si="9"/>
        <v>0.7101873987815223</v>
      </c>
      <c r="W8" s="28">
        <f t="shared" si="10"/>
        <v>1.0380023781212842</v>
      </c>
      <c r="X8" s="28">
        <f t="shared" si="11"/>
        <v>0.9079668655106001</v>
      </c>
      <c r="Y8" s="29">
        <f t="shared" si="15"/>
        <v>0.9840376403878504</v>
      </c>
    </row>
    <row r="9" spans="1:25" ht="11.25">
      <c r="A9" s="6">
        <v>4</v>
      </c>
      <c r="B9" s="7" t="s">
        <v>51</v>
      </c>
      <c r="C9" s="49">
        <v>775</v>
      </c>
      <c r="D9" s="8"/>
      <c r="E9" s="8">
        <v>786</v>
      </c>
      <c r="F9" s="25">
        <v>2381.65</v>
      </c>
      <c r="G9" s="25">
        <v>47.18</v>
      </c>
      <c r="H9" s="26"/>
      <c r="I9" s="26">
        <f t="shared" si="0"/>
        <v>0</v>
      </c>
      <c r="J9" s="27">
        <f>'ИБР 2021'!G9*'ИБР 2021'!H9/'ИБР 2021'!$H$16</f>
        <v>0</v>
      </c>
      <c r="K9" s="28">
        <f t="shared" si="1"/>
        <v>2.025909677419355</v>
      </c>
      <c r="L9" s="28">
        <f t="shared" si="12"/>
        <v>2.0141935483870967</v>
      </c>
      <c r="M9" s="28">
        <f t="shared" si="13"/>
        <v>1</v>
      </c>
      <c r="N9" s="28">
        <f t="shared" si="2"/>
        <v>1</v>
      </c>
      <c r="O9" s="17">
        <f t="shared" si="3"/>
        <v>1570.08</v>
      </c>
      <c r="P9" s="17">
        <f t="shared" si="14"/>
        <v>1561</v>
      </c>
      <c r="Q9" s="17">
        <f t="shared" si="4"/>
        <v>775</v>
      </c>
      <c r="R9" s="17">
        <f t="shared" si="5"/>
        <v>1570.08</v>
      </c>
      <c r="S9" s="17">
        <f t="shared" si="6"/>
        <v>1561</v>
      </c>
      <c r="T9" s="28">
        <f t="shared" si="7"/>
        <v>2.025909677419355</v>
      </c>
      <c r="U9" s="28">
        <f t="shared" si="8"/>
        <v>1.259856442252225</v>
      </c>
      <c r="V9" s="28">
        <f t="shared" si="9"/>
        <v>0.7101873987815223</v>
      </c>
      <c r="W9" s="28">
        <f t="shared" si="10"/>
        <v>2.025909677419355</v>
      </c>
      <c r="X9" s="28">
        <f t="shared" si="11"/>
        <v>1.773977466248735</v>
      </c>
      <c r="Y9" s="29">
        <f t="shared" si="15"/>
        <v>1.9213578097835478</v>
      </c>
    </row>
    <row r="10" spans="1:25" ht="11.25">
      <c r="A10" s="6">
        <v>5</v>
      </c>
      <c r="B10" s="7" t="s">
        <v>52</v>
      </c>
      <c r="C10" s="49">
        <v>2072</v>
      </c>
      <c r="D10" s="8"/>
      <c r="E10" s="8">
        <v>420</v>
      </c>
      <c r="F10" s="25">
        <v>2381.65</v>
      </c>
      <c r="G10" s="25">
        <v>47.18</v>
      </c>
      <c r="H10" s="26">
        <v>20636.3</v>
      </c>
      <c r="I10" s="26">
        <f t="shared" si="0"/>
        <v>49148443.895</v>
      </c>
      <c r="J10" s="27">
        <f>'ИБР 2021'!G10*'ИБР 2021'!H10/'ИБР 2021'!$H$16</f>
        <v>8.785683267309757</v>
      </c>
      <c r="K10" s="28">
        <f t="shared" si="1"/>
        <v>1.1333397683397681</v>
      </c>
      <c r="L10" s="28">
        <f t="shared" si="12"/>
        <v>1.2027027027027026</v>
      </c>
      <c r="M10" s="28">
        <f t="shared" si="13"/>
        <v>1</v>
      </c>
      <c r="N10" s="28">
        <f t="shared" si="2"/>
        <v>1</v>
      </c>
      <c r="O10" s="17">
        <f t="shared" si="3"/>
        <v>2348.2799999999997</v>
      </c>
      <c r="P10" s="17">
        <f t="shared" si="14"/>
        <v>2492</v>
      </c>
      <c r="Q10" s="17">
        <f t="shared" si="4"/>
        <v>2072</v>
      </c>
      <c r="R10" s="17">
        <f t="shared" si="5"/>
        <v>2348.2799999999997</v>
      </c>
      <c r="S10" s="17">
        <f t="shared" si="6"/>
        <v>2492</v>
      </c>
      <c r="T10" s="28">
        <f t="shared" si="7"/>
        <v>1.1333397683397681</v>
      </c>
      <c r="U10" s="28">
        <f t="shared" si="8"/>
        <v>0.75227762958903</v>
      </c>
      <c r="V10" s="28">
        <f t="shared" si="9"/>
        <v>0.7101873987815223</v>
      </c>
      <c r="W10" s="28">
        <f t="shared" si="10"/>
        <v>1.1333397683397681</v>
      </c>
      <c r="X10" s="28">
        <f t="shared" si="11"/>
        <v>1.0592663723402056</v>
      </c>
      <c r="Y10" s="29">
        <f t="shared" si="15"/>
        <v>1.1025993089999497</v>
      </c>
    </row>
    <row r="11" spans="1:25" ht="11.25">
      <c r="A11" s="6">
        <v>6</v>
      </c>
      <c r="B11" s="7" t="s">
        <v>53</v>
      </c>
      <c r="C11" s="49">
        <v>1865</v>
      </c>
      <c r="D11" s="8"/>
      <c r="E11" s="8">
        <v>113</v>
      </c>
      <c r="F11" s="25">
        <v>2381.65</v>
      </c>
      <c r="G11" s="25">
        <v>47.18</v>
      </c>
      <c r="H11" s="26">
        <v>5640</v>
      </c>
      <c r="I11" s="26">
        <f t="shared" si="0"/>
        <v>13432506</v>
      </c>
      <c r="J11" s="27">
        <f>'ИБР 2021'!G11*'ИБР 2021'!H11/'ИБР 2021'!$H$16</f>
        <v>2.4011694745485883</v>
      </c>
      <c r="K11" s="28">
        <f t="shared" si="1"/>
        <v>1.1925361930294907</v>
      </c>
      <c r="L11" s="28">
        <f t="shared" si="12"/>
        <v>1.0605898123324398</v>
      </c>
      <c r="M11" s="28">
        <f t="shared" si="13"/>
        <v>1</v>
      </c>
      <c r="N11" s="28">
        <f t="shared" si="2"/>
        <v>1</v>
      </c>
      <c r="O11" s="17">
        <f t="shared" si="3"/>
        <v>2224.08</v>
      </c>
      <c r="P11" s="17">
        <f t="shared" si="14"/>
        <v>1978.0000000000002</v>
      </c>
      <c r="Q11" s="17">
        <f t="shared" si="4"/>
        <v>1865</v>
      </c>
      <c r="R11" s="17">
        <f t="shared" si="5"/>
        <v>2224.08</v>
      </c>
      <c r="S11" s="17">
        <f t="shared" si="6"/>
        <v>1978.0000000000002</v>
      </c>
      <c r="T11" s="28">
        <f t="shared" si="7"/>
        <v>1.1925361930294907</v>
      </c>
      <c r="U11" s="28">
        <f t="shared" si="8"/>
        <v>0.6633875422369824</v>
      </c>
      <c r="V11" s="28">
        <f t="shared" si="9"/>
        <v>0.7101873987815223</v>
      </c>
      <c r="W11" s="28">
        <f t="shared" si="10"/>
        <v>1.1925361930294907</v>
      </c>
      <c r="X11" s="28">
        <f t="shared" si="11"/>
        <v>0.9341021023115377</v>
      </c>
      <c r="Y11" s="29">
        <f t="shared" si="15"/>
        <v>1.0852860453815403</v>
      </c>
    </row>
    <row r="12" spans="1:25" ht="11.25">
      <c r="A12" s="6">
        <v>7</v>
      </c>
      <c r="B12" s="7" t="s">
        <v>54</v>
      </c>
      <c r="C12" s="49">
        <v>926</v>
      </c>
      <c r="D12" s="8"/>
      <c r="E12" s="8">
        <v>139</v>
      </c>
      <c r="F12" s="25">
        <v>2381.65</v>
      </c>
      <c r="G12" s="25">
        <v>47.18</v>
      </c>
      <c r="H12" s="26">
        <v>6002.5</v>
      </c>
      <c r="I12" s="26">
        <f t="shared" si="0"/>
        <v>14295854.125</v>
      </c>
      <c r="J12" s="27">
        <f>'ИБР 2021'!G12*'ИБР 2021'!H12/'ИБР 2021'!$H$16</f>
        <v>2.555499959393245</v>
      </c>
      <c r="K12" s="28">
        <f t="shared" si="1"/>
        <v>1.7933909287257017</v>
      </c>
      <c r="L12" s="28">
        <f t="shared" si="12"/>
        <v>1.150107991360691</v>
      </c>
      <c r="M12" s="28">
        <f t="shared" si="13"/>
        <v>1</v>
      </c>
      <c r="N12" s="28">
        <f t="shared" si="2"/>
        <v>1</v>
      </c>
      <c r="O12" s="17">
        <f t="shared" si="3"/>
        <v>1660.6799999999998</v>
      </c>
      <c r="P12" s="17">
        <f t="shared" si="14"/>
        <v>1065</v>
      </c>
      <c r="Q12" s="17">
        <f t="shared" si="4"/>
        <v>926</v>
      </c>
      <c r="R12" s="17">
        <f t="shared" si="5"/>
        <v>1660.6799999999998</v>
      </c>
      <c r="S12" s="17">
        <f t="shared" si="6"/>
        <v>1065</v>
      </c>
      <c r="T12" s="28">
        <f t="shared" si="7"/>
        <v>1.7933909287257017</v>
      </c>
      <c r="U12" s="28">
        <f t="shared" si="8"/>
        <v>0.7193802022461167</v>
      </c>
      <c r="V12" s="28">
        <f t="shared" si="9"/>
        <v>0.7101873987815223</v>
      </c>
      <c r="W12" s="28">
        <f t="shared" si="10"/>
        <v>1.7933909287257017</v>
      </c>
      <c r="X12" s="28">
        <f t="shared" si="11"/>
        <v>1.0129441939977626</v>
      </c>
      <c r="Y12" s="29">
        <f t="shared" si="15"/>
        <v>1.4695055338136072</v>
      </c>
    </row>
    <row r="13" spans="1:25" ht="11.25">
      <c r="A13" s="6">
        <v>8</v>
      </c>
      <c r="B13" s="7" t="s">
        <v>55</v>
      </c>
      <c r="C13" s="49">
        <v>2023</v>
      </c>
      <c r="D13" s="8"/>
      <c r="E13" s="8"/>
      <c r="F13" s="25">
        <v>2381.65</v>
      </c>
      <c r="G13" s="25">
        <v>47.18</v>
      </c>
      <c r="H13" s="26"/>
      <c r="I13" s="26"/>
      <c r="J13" s="27"/>
      <c r="K13" s="28">
        <f t="shared" si="1"/>
        <v>1.1462580326248146</v>
      </c>
      <c r="L13" s="28">
        <f t="shared" si="12"/>
        <v>1</v>
      </c>
      <c r="M13" s="28">
        <f t="shared" si="13"/>
        <v>1</v>
      </c>
      <c r="N13" s="28">
        <f t="shared" si="2"/>
        <v>1</v>
      </c>
      <c r="O13" s="17">
        <f t="shared" si="3"/>
        <v>2318.88</v>
      </c>
      <c r="P13" s="17">
        <f t="shared" si="14"/>
        <v>2023</v>
      </c>
      <c r="Q13" s="17">
        <f t="shared" si="4"/>
        <v>2023</v>
      </c>
      <c r="R13" s="17">
        <f t="shared" si="5"/>
        <v>2318.88</v>
      </c>
      <c r="S13" s="17">
        <f t="shared" si="6"/>
        <v>2023</v>
      </c>
      <c r="T13" s="28">
        <f t="shared" si="7"/>
        <v>1.1462580326248146</v>
      </c>
      <c r="U13" s="28">
        <f t="shared" si="8"/>
        <v>0.6254892650515531</v>
      </c>
      <c r="V13" s="28">
        <f t="shared" si="9"/>
        <v>0.7101873987815223</v>
      </c>
      <c r="W13" s="28">
        <f t="shared" si="10"/>
        <v>1.1462580326248146</v>
      </c>
      <c r="X13" s="28">
        <f t="shared" si="11"/>
        <v>0.8807383320581484</v>
      </c>
      <c r="Y13" s="29">
        <f t="shared" si="15"/>
        <v>1.0360673568896481</v>
      </c>
    </row>
    <row r="14" spans="1:25" ht="11.25">
      <c r="A14" s="6">
        <v>9</v>
      </c>
      <c r="B14" s="7" t="s">
        <v>56</v>
      </c>
      <c r="C14" s="49">
        <v>723</v>
      </c>
      <c r="D14" s="8"/>
      <c r="E14" s="8">
        <v>353</v>
      </c>
      <c r="F14" s="25">
        <v>2381.65</v>
      </c>
      <c r="G14" s="25">
        <v>47.18</v>
      </c>
      <c r="H14" s="26">
        <v>14166.2</v>
      </c>
      <c r="I14" s="26">
        <f>F14*H14</f>
        <v>33738930.230000004</v>
      </c>
      <c r="J14" s="27">
        <f>'ИБР 2021'!G14*'ИБР 2021'!H14/'ИБР 2021'!$H$16</f>
        <v>6.031107625948619</v>
      </c>
      <c r="K14" s="28">
        <f t="shared" si="1"/>
        <v>2.1284647302904562</v>
      </c>
      <c r="L14" s="28">
        <f t="shared" si="12"/>
        <v>1.4882434301521439</v>
      </c>
      <c r="M14" s="28">
        <f t="shared" si="13"/>
        <v>1</v>
      </c>
      <c r="N14" s="28">
        <f t="shared" si="2"/>
        <v>1</v>
      </c>
      <c r="O14" s="17">
        <f t="shared" si="3"/>
        <v>1538.8799999999999</v>
      </c>
      <c r="P14" s="17">
        <f t="shared" si="14"/>
        <v>1076</v>
      </c>
      <c r="Q14" s="17">
        <f t="shared" si="4"/>
        <v>723</v>
      </c>
      <c r="R14" s="17">
        <f t="shared" si="5"/>
        <v>1538.8799999999999</v>
      </c>
      <c r="S14" s="17">
        <f t="shared" si="6"/>
        <v>1076</v>
      </c>
      <c r="T14" s="28">
        <f t="shared" si="7"/>
        <v>2.1284647302904562</v>
      </c>
      <c r="U14" s="28">
        <f t="shared" si="8"/>
        <v>0.9308802893436668</v>
      </c>
      <c r="V14" s="28">
        <f t="shared" si="9"/>
        <v>0.7101873987815223</v>
      </c>
      <c r="W14" s="28">
        <f t="shared" si="10"/>
        <v>2.1284647302904562</v>
      </c>
      <c r="X14" s="28">
        <f t="shared" si="11"/>
        <v>1.3107530363686968</v>
      </c>
      <c r="Y14" s="29">
        <f t="shared" si="15"/>
        <v>1.7891143773129259</v>
      </c>
    </row>
    <row r="15" spans="1:25" ht="11.25">
      <c r="A15" s="6">
        <v>10</v>
      </c>
      <c r="B15" s="7" t="s">
        <v>57</v>
      </c>
      <c r="C15" s="49">
        <v>1977</v>
      </c>
      <c r="D15" s="8"/>
      <c r="E15" s="8">
        <v>525</v>
      </c>
      <c r="F15" s="25">
        <v>2381.65</v>
      </c>
      <c r="G15" s="25">
        <v>47.18</v>
      </c>
      <c r="H15" s="26">
        <v>12853.2</v>
      </c>
      <c r="I15" s="26">
        <f>F15*H15</f>
        <v>30611823.78</v>
      </c>
      <c r="J15" s="27">
        <f>'ИБР 2021'!G15*'ИБР 2021'!H15/'ИБР 2021'!$H$16</f>
        <v>5.472111966359559</v>
      </c>
      <c r="K15" s="28">
        <f t="shared" si="1"/>
        <v>1.15896813353566</v>
      </c>
      <c r="L15" s="28">
        <f t="shared" si="12"/>
        <v>1.2655538694992412</v>
      </c>
      <c r="M15" s="28">
        <f t="shared" si="13"/>
        <v>1</v>
      </c>
      <c r="N15" s="28">
        <f t="shared" si="2"/>
        <v>1</v>
      </c>
      <c r="O15" s="17">
        <f t="shared" si="3"/>
        <v>2291.28</v>
      </c>
      <c r="P15" s="17">
        <f t="shared" si="14"/>
        <v>2502</v>
      </c>
      <c r="Q15" s="17">
        <f t="shared" si="4"/>
        <v>1977</v>
      </c>
      <c r="R15" s="17">
        <f t="shared" si="5"/>
        <v>2291.28</v>
      </c>
      <c r="S15" s="17">
        <f t="shared" si="6"/>
        <v>2502</v>
      </c>
      <c r="T15" s="28">
        <f t="shared" si="7"/>
        <v>1.15896813353566</v>
      </c>
      <c r="U15" s="28">
        <f t="shared" si="8"/>
        <v>0.7915903597162295</v>
      </c>
      <c r="V15" s="28">
        <f t="shared" si="9"/>
        <v>0.7101873987815223</v>
      </c>
      <c r="W15" s="28">
        <f t="shared" si="10"/>
        <v>1.15896813353566</v>
      </c>
      <c r="X15" s="28">
        <f t="shared" si="11"/>
        <v>1.1146218041524973</v>
      </c>
      <c r="Y15" s="29">
        <f t="shared" si="15"/>
        <v>1.1405644068416476</v>
      </c>
    </row>
    <row r="16" spans="1:25" ht="12.75">
      <c r="A16" s="12"/>
      <c r="B16" s="13" t="s">
        <v>11</v>
      </c>
      <c r="C16" s="13">
        <f>SUM(C6:C15)</f>
        <v>27627</v>
      </c>
      <c r="D16" s="30">
        <f>SUM(D6:D15)</f>
        <v>11274</v>
      </c>
      <c r="E16" s="30">
        <f>SUM(E6:E15)</f>
        <v>3741</v>
      </c>
      <c r="F16" s="25">
        <v>2381.65</v>
      </c>
      <c r="G16" s="25">
        <v>47.18</v>
      </c>
      <c r="H16" s="31">
        <f>SUM(H6:H15)</f>
        <v>110819</v>
      </c>
      <c r="I16" s="31">
        <f>SUM(I6:I15)</f>
        <v>263932071.35</v>
      </c>
      <c r="J16" s="32">
        <f>SUM(J6:J15)</f>
        <v>47.18000000000001</v>
      </c>
      <c r="K16" s="29">
        <f>IF(C16&lt;&gt;0,0.6+0.4*($C$16/COUNT($A$6:$A$15))/(C16/COUNT($A$6:$A$15)),0)</f>
        <v>1</v>
      </c>
      <c r="L16" s="29">
        <f>IF(C16&lt;&gt;0,1+E16/C16,0)</f>
        <v>1.1354110109675317</v>
      </c>
      <c r="M16" s="29">
        <f>IF(C16&lt;&gt;0,1+D16/C16,0)</f>
        <v>1.408079053100228</v>
      </c>
      <c r="N16" s="29">
        <f t="shared" si="2"/>
        <v>1</v>
      </c>
      <c r="O16" s="33">
        <f t="shared" si="3"/>
        <v>27627</v>
      </c>
      <c r="P16" s="33">
        <f t="shared" si="14"/>
        <v>44168.623737647955</v>
      </c>
      <c r="Q16" s="33">
        <f t="shared" si="4"/>
        <v>38901</v>
      </c>
      <c r="R16" s="33">
        <f t="shared" si="5"/>
        <v>27627</v>
      </c>
      <c r="S16" s="33">
        <f t="shared" si="6"/>
        <v>31368</v>
      </c>
      <c r="T16" s="29">
        <f t="shared" si="7"/>
        <v>1</v>
      </c>
      <c r="U16" s="29">
        <f t="shared" si="8"/>
        <v>1</v>
      </c>
      <c r="V16" s="29">
        <f t="shared" si="9"/>
        <v>1</v>
      </c>
      <c r="W16" s="29">
        <f t="shared" si="10"/>
        <v>1</v>
      </c>
      <c r="X16" s="29">
        <f t="shared" si="11"/>
        <v>1</v>
      </c>
      <c r="Y16" s="29">
        <f t="shared" si="15"/>
        <v>1</v>
      </c>
    </row>
    <row r="17" spans="3:25" ht="11.2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3:25" ht="11.25"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3:25" ht="11.25"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</row>
  </sheetData>
  <sheetProtection/>
  <mergeCells count="10">
    <mergeCell ref="A3:A4"/>
    <mergeCell ref="C3:C4"/>
    <mergeCell ref="B3:B4"/>
    <mergeCell ref="B1:N1"/>
    <mergeCell ref="F3:G3"/>
    <mergeCell ref="E3:E4"/>
    <mergeCell ref="O3:S3"/>
    <mergeCell ref="T3:X3"/>
    <mergeCell ref="Y3:Y4"/>
    <mergeCell ref="K3:N3"/>
  </mergeCells>
  <printOptions horizontalCentered="1" verticalCentered="1"/>
  <pageMargins left="0.31496062992125984" right="0.1968503937007874" top="0.1968503937007874" bottom="0.1968503937007874" header="0.15748031496062992" footer="0.15748031496062992"/>
  <pageSetup horizontalDpi="600" verticalDpi="600" orientation="landscape" paperSize="9" scale="85" r:id="rId1"/>
  <colBreaks count="1" manualBreakCount="1">
    <brk id="14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zoomScaleSheetLayoutView="100" zoomScalePageLayoutView="0" workbookViewId="0" topLeftCell="A1">
      <pane xSplit="2" ySplit="5" topLeftCell="G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X12" sqref="X12"/>
    </sheetView>
  </sheetViews>
  <sheetFormatPr defaultColWidth="8.00390625" defaultRowHeight="12.75"/>
  <cols>
    <col min="1" max="1" width="3.25390625" style="1" customWidth="1"/>
    <col min="2" max="2" width="22.125" style="1" customWidth="1"/>
    <col min="3" max="3" width="10.875" style="1" customWidth="1"/>
    <col min="4" max="24" width="12.00390625" style="1" customWidth="1"/>
    <col min="25" max="16384" width="8.00390625" style="1" customWidth="1"/>
  </cols>
  <sheetData>
    <row r="1" spans="3:24" ht="27" customHeight="1">
      <c r="C1" s="60" t="s">
        <v>71</v>
      </c>
      <c r="D1" s="60"/>
      <c r="E1" s="60"/>
      <c r="F1" s="60"/>
      <c r="G1" s="60"/>
      <c r="H1" s="60"/>
      <c r="I1" s="60"/>
      <c r="J1" s="60"/>
      <c r="K1" s="60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3" spans="1:24" ht="30.75" customHeight="1">
      <c r="A3" s="71" t="s">
        <v>0</v>
      </c>
      <c r="B3" s="71" t="s">
        <v>1</v>
      </c>
      <c r="C3" s="73" t="s">
        <v>2</v>
      </c>
      <c r="D3" s="71" t="s">
        <v>3</v>
      </c>
      <c r="E3" s="71"/>
      <c r="F3" s="71"/>
      <c r="G3" s="71"/>
      <c r="H3" s="71" t="s">
        <v>4</v>
      </c>
      <c r="I3" s="71"/>
      <c r="J3" s="71"/>
      <c r="K3" s="71"/>
      <c r="L3" s="71" t="s">
        <v>5</v>
      </c>
      <c r="M3" s="71"/>
      <c r="N3" s="71"/>
      <c r="O3" s="71"/>
      <c r="P3" s="71" t="s">
        <v>6</v>
      </c>
      <c r="Q3" s="71"/>
      <c r="R3" s="71"/>
      <c r="S3" s="71"/>
      <c r="T3" s="72" t="s">
        <v>7</v>
      </c>
      <c r="U3" s="72" t="s">
        <v>44</v>
      </c>
      <c r="V3" s="72" t="s">
        <v>45</v>
      </c>
      <c r="W3" s="72" t="s">
        <v>46</v>
      </c>
      <c r="X3" s="72" t="s">
        <v>47</v>
      </c>
    </row>
    <row r="4" spans="1:24" ht="90" customHeight="1">
      <c r="A4" s="71"/>
      <c r="B4" s="71"/>
      <c r="C4" s="73"/>
      <c r="D4" s="3" t="s">
        <v>8</v>
      </c>
      <c r="E4" s="46" t="s">
        <v>62</v>
      </c>
      <c r="F4" s="3" t="s">
        <v>9</v>
      </c>
      <c r="G4" s="3" t="str">
        <f>"Налоговый потенциал по репрезента-тивной налоговой ставке  "&amp;FIXED(F16,6)&amp;", контингент"</f>
        <v>Налоговый потенциал по репрезента-тивной налоговой ставке  0,130000, контингент</v>
      </c>
      <c r="H4" s="3" t="s">
        <v>12</v>
      </c>
      <c r="I4" s="46" t="s">
        <v>63</v>
      </c>
      <c r="J4" s="3" t="s">
        <v>9</v>
      </c>
      <c r="K4" s="3" t="str">
        <f>"Налоговый потенциал по репрезента-тивной налоговой ставке  "&amp;FIXED(J16,6)&amp;", контингент"</f>
        <v>Налоговый потенциал по репрезента-тивной налоговой ставке  0,003000, контингент</v>
      </c>
      <c r="L4" s="3" t="s">
        <v>12</v>
      </c>
      <c r="M4" s="46" t="s">
        <v>63</v>
      </c>
      <c r="N4" s="3" t="s">
        <v>9</v>
      </c>
      <c r="O4" s="3" t="str">
        <f>"Налоговый потенциал по репрезента-тивной налоговой ставке  "&amp;FIXED(N16,6)&amp;", контингент"</f>
        <v>Налоговый потенциал по репрезента-тивной налоговой ставке  0,002979, контингент</v>
      </c>
      <c r="P4" s="3" t="s">
        <v>12</v>
      </c>
      <c r="Q4" s="46" t="s">
        <v>64</v>
      </c>
      <c r="R4" s="3" t="s">
        <v>9</v>
      </c>
      <c r="S4" s="3" t="str">
        <f>"Налоговый потенциал по репрезента-тивной налоговой ставке  "&amp;FIXED(R16,6)&amp;", контингент"</f>
        <v>Налоговый потенциал по репрезента-тивной налоговой ставке  0,030000, контингент</v>
      </c>
      <c r="T4" s="72"/>
      <c r="U4" s="72"/>
      <c r="V4" s="72"/>
      <c r="W4" s="72"/>
      <c r="X4" s="72"/>
    </row>
    <row r="5" spans="1:24" s="5" customFormat="1" ht="11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2.75">
      <c r="A6" s="6">
        <v>1</v>
      </c>
      <c r="B6" s="7" t="s">
        <v>48</v>
      </c>
      <c r="C6" s="49">
        <v>9407</v>
      </c>
      <c r="D6" s="59">
        <v>490355.5</v>
      </c>
      <c r="E6" s="53"/>
      <c r="F6" s="56" t="s">
        <v>10</v>
      </c>
      <c r="G6" s="54">
        <f aca="true" t="shared" si="0" ref="G6:G15">D6*$F$16*0.1</f>
        <v>6374.621500000001</v>
      </c>
      <c r="H6" s="59">
        <v>374800</v>
      </c>
      <c r="I6" s="59">
        <v>1124.4</v>
      </c>
      <c r="J6" s="10" t="s">
        <v>10</v>
      </c>
      <c r="K6" s="11">
        <f aca="true" t="shared" si="1" ref="K6:K15">H6*$J$16</f>
        <v>1124.3999748535139</v>
      </c>
      <c r="L6" s="59">
        <v>2241666.6</v>
      </c>
      <c r="M6" s="59">
        <v>6725</v>
      </c>
      <c r="N6" s="10" t="s">
        <v>10</v>
      </c>
      <c r="O6" s="11">
        <f aca="true" t="shared" si="2" ref="O6:O15">L6*$N$16</f>
        <v>6677.247352112986</v>
      </c>
      <c r="P6" s="59">
        <v>7900</v>
      </c>
      <c r="Q6" s="59">
        <v>237</v>
      </c>
      <c r="R6" s="10" t="s">
        <v>10</v>
      </c>
      <c r="S6" s="11">
        <f aca="true" t="shared" si="3" ref="S6:S15">P6*$R$16</f>
        <v>236.99980493843216</v>
      </c>
      <c r="T6" s="11">
        <f aca="true" t="shared" si="4" ref="T6:T16">S6+O6+K6+G6</f>
        <v>14413.268631904933</v>
      </c>
      <c r="U6" s="45">
        <v>489.5</v>
      </c>
      <c r="V6" s="11">
        <f>T6+U6</f>
        <v>14902.768631904933</v>
      </c>
      <c r="W6" s="11">
        <f>IF(C6&lt;&gt;0,V6/C6,0)</f>
        <v>1.5842211791118246</v>
      </c>
      <c r="X6" s="36">
        <f aca="true" t="shared" si="5" ref="X6:X16">IF($W$16&lt;&gt;0,W6/$W$16,0)</f>
        <v>0.86654391049873</v>
      </c>
    </row>
    <row r="7" spans="1:24" ht="12.75">
      <c r="A7" s="6">
        <v>2</v>
      </c>
      <c r="B7" s="7" t="s">
        <v>49</v>
      </c>
      <c r="C7" s="49">
        <v>5336</v>
      </c>
      <c r="D7" s="59">
        <v>265674</v>
      </c>
      <c r="E7" s="53"/>
      <c r="F7" s="56" t="s">
        <v>10</v>
      </c>
      <c r="G7" s="54">
        <f t="shared" si="0"/>
        <v>3453.7620000000006</v>
      </c>
      <c r="H7" s="59">
        <v>250333.3</v>
      </c>
      <c r="I7" s="59">
        <v>751</v>
      </c>
      <c r="J7" s="10" t="s">
        <v>10</v>
      </c>
      <c r="K7" s="11">
        <f t="shared" si="1"/>
        <v>750.9998832043681</v>
      </c>
      <c r="L7" s="59">
        <v>1110000</v>
      </c>
      <c r="M7" s="59">
        <v>3330</v>
      </c>
      <c r="N7" s="10" t="s">
        <v>10</v>
      </c>
      <c r="O7" s="11">
        <f t="shared" si="2"/>
        <v>3306.354549265004</v>
      </c>
      <c r="P7" s="59">
        <v>6166.7</v>
      </c>
      <c r="Q7" s="59">
        <v>185</v>
      </c>
      <c r="R7" s="10" t="s">
        <v>10</v>
      </c>
      <c r="S7" s="11">
        <f t="shared" si="3"/>
        <v>185.0008477359278</v>
      </c>
      <c r="T7" s="11">
        <f t="shared" si="4"/>
        <v>7696.117280205301</v>
      </c>
      <c r="U7" s="45">
        <v>277.7</v>
      </c>
      <c r="V7" s="11">
        <f aca="true" t="shared" si="6" ref="V7:V15">T7+U7</f>
        <v>7973.8172802053</v>
      </c>
      <c r="W7" s="11">
        <f aca="true" t="shared" si="7" ref="W7:W16">IF(C7&lt;&gt;0,V7/C7,0)</f>
        <v>1.4943435682543666</v>
      </c>
      <c r="X7" s="36">
        <f t="shared" si="5"/>
        <v>0.8173822799097684</v>
      </c>
    </row>
    <row r="8" spans="1:24" ht="12.75">
      <c r="A8" s="6">
        <v>3</v>
      </c>
      <c r="B8" s="7" t="s">
        <v>50</v>
      </c>
      <c r="C8" s="49">
        <v>2523</v>
      </c>
      <c r="D8" s="59">
        <v>125617.5</v>
      </c>
      <c r="E8" s="53"/>
      <c r="F8" s="56" t="s">
        <v>10</v>
      </c>
      <c r="G8" s="54">
        <f t="shared" si="0"/>
        <v>1633.0275000000001</v>
      </c>
      <c r="H8" s="59">
        <v>212666.7</v>
      </c>
      <c r="I8" s="59">
        <v>638</v>
      </c>
      <c r="J8" s="10" t="s">
        <v>10</v>
      </c>
      <c r="K8" s="11">
        <f t="shared" si="1"/>
        <v>638.0000857315363</v>
      </c>
      <c r="L8" s="59">
        <v>888333.3</v>
      </c>
      <c r="M8" s="59">
        <v>2665</v>
      </c>
      <c r="N8" s="10" t="s">
        <v>10</v>
      </c>
      <c r="O8" s="11">
        <f t="shared" si="2"/>
        <v>2646.0764393861205</v>
      </c>
      <c r="P8" s="59">
        <v>5933.3</v>
      </c>
      <c r="Q8" s="59">
        <v>178</v>
      </c>
      <c r="R8" s="10" t="s">
        <v>10</v>
      </c>
      <c r="S8" s="11">
        <f t="shared" si="3"/>
        <v>177.99885349888604</v>
      </c>
      <c r="T8" s="11">
        <f t="shared" si="4"/>
        <v>5095.1028786165425</v>
      </c>
      <c r="U8" s="45">
        <v>131.3</v>
      </c>
      <c r="V8" s="11">
        <f t="shared" si="6"/>
        <v>5226.402878616543</v>
      </c>
      <c r="W8" s="11">
        <f t="shared" si="7"/>
        <v>2.0715033208943887</v>
      </c>
      <c r="X8" s="36">
        <f t="shared" si="5"/>
        <v>1.1330795295296472</v>
      </c>
    </row>
    <row r="9" spans="1:24" ht="12.75">
      <c r="A9" s="6">
        <v>4</v>
      </c>
      <c r="B9" s="7" t="s">
        <v>51</v>
      </c>
      <c r="C9" s="49">
        <v>775</v>
      </c>
      <c r="D9" s="59">
        <v>38586.5</v>
      </c>
      <c r="E9" s="53"/>
      <c r="F9" s="56" t="s">
        <v>10</v>
      </c>
      <c r="G9" s="54">
        <f t="shared" si="0"/>
        <v>501.6245</v>
      </c>
      <c r="H9" s="59">
        <v>113000</v>
      </c>
      <c r="I9" s="59">
        <v>339</v>
      </c>
      <c r="J9" s="10" t="s">
        <v>10</v>
      </c>
      <c r="K9" s="11">
        <f t="shared" si="1"/>
        <v>338.99999241848207</v>
      </c>
      <c r="L9" s="59">
        <v>343666.7</v>
      </c>
      <c r="M9" s="59">
        <v>1031</v>
      </c>
      <c r="N9" s="10" t="s">
        <v>10</v>
      </c>
      <c r="O9" s="11">
        <f t="shared" si="2"/>
        <v>1023.6792405188211</v>
      </c>
      <c r="P9" s="59">
        <v>36433.3</v>
      </c>
      <c r="Q9" s="59">
        <v>1093</v>
      </c>
      <c r="R9" s="10" t="s">
        <v>10</v>
      </c>
      <c r="S9" s="11">
        <f t="shared" si="3"/>
        <v>1092.9981004130861</v>
      </c>
      <c r="T9" s="11">
        <f t="shared" si="4"/>
        <v>2957.301833350389</v>
      </c>
      <c r="U9" s="45">
        <v>40.3</v>
      </c>
      <c r="V9" s="11">
        <f t="shared" si="6"/>
        <v>2997.6018333503894</v>
      </c>
      <c r="W9" s="11">
        <f t="shared" si="7"/>
        <v>3.867873333355341</v>
      </c>
      <c r="X9" s="36">
        <f t="shared" si="5"/>
        <v>2.1156654940559356</v>
      </c>
    </row>
    <row r="10" spans="1:24" ht="12.75">
      <c r="A10" s="6">
        <v>5</v>
      </c>
      <c r="B10" s="7" t="s">
        <v>52</v>
      </c>
      <c r="C10" s="49">
        <v>2072</v>
      </c>
      <c r="D10" s="59">
        <v>103162.8</v>
      </c>
      <c r="E10" s="53"/>
      <c r="F10" s="56" t="s">
        <v>10</v>
      </c>
      <c r="G10" s="54">
        <f t="shared" si="0"/>
        <v>1341.1164</v>
      </c>
      <c r="H10" s="59">
        <v>123666.7</v>
      </c>
      <c r="I10" s="59">
        <v>371</v>
      </c>
      <c r="J10" s="10" t="s">
        <v>10</v>
      </c>
      <c r="K10" s="11">
        <f t="shared" si="1"/>
        <v>371.00009170282027</v>
      </c>
      <c r="L10" s="59">
        <v>865000</v>
      </c>
      <c r="M10" s="59">
        <v>2595</v>
      </c>
      <c r="N10" s="10" t="s">
        <v>10</v>
      </c>
      <c r="O10" s="11">
        <f t="shared" si="2"/>
        <v>2576.573590192999</v>
      </c>
      <c r="P10" s="59">
        <v>4500</v>
      </c>
      <c r="Q10" s="59">
        <v>135</v>
      </c>
      <c r="R10" s="10" t="s">
        <v>10</v>
      </c>
      <c r="S10" s="11">
        <f t="shared" si="3"/>
        <v>134.99988888898034</v>
      </c>
      <c r="T10" s="11">
        <f t="shared" si="4"/>
        <v>4423.6899707848</v>
      </c>
      <c r="U10" s="45">
        <v>107.8</v>
      </c>
      <c r="V10" s="11">
        <f t="shared" si="6"/>
        <v>4531.4899707848</v>
      </c>
      <c r="W10" s="11">
        <f t="shared" si="7"/>
        <v>2.187012534162548</v>
      </c>
      <c r="X10" s="36">
        <f t="shared" si="5"/>
        <v>1.1962612409496012</v>
      </c>
    </row>
    <row r="11" spans="1:24" ht="12.75">
      <c r="A11" s="6">
        <v>6</v>
      </c>
      <c r="B11" s="7" t="s">
        <v>53</v>
      </c>
      <c r="C11" s="49">
        <v>1865</v>
      </c>
      <c r="D11" s="59">
        <v>92856.4</v>
      </c>
      <c r="E11" s="53"/>
      <c r="F11" s="56" t="s">
        <v>10</v>
      </c>
      <c r="G11" s="54">
        <f t="shared" si="0"/>
        <v>1207.1332</v>
      </c>
      <c r="H11" s="59">
        <v>103000</v>
      </c>
      <c r="I11" s="59">
        <v>309</v>
      </c>
      <c r="J11" s="10" t="s">
        <v>10</v>
      </c>
      <c r="K11" s="11">
        <f t="shared" si="1"/>
        <v>308.99999308941284</v>
      </c>
      <c r="L11" s="59">
        <v>679000</v>
      </c>
      <c r="M11" s="59">
        <v>2037</v>
      </c>
      <c r="N11" s="10" t="s">
        <v>10</v>
      </c>
      <c r="O11" s="11">
        <f t="shared" si="2"/>
        <v>2022.5358008567007</v>
      </c>
      <c r="P11" s="59">
        <v>39166.7</v>
      </c>
      <c r="Q11" s="59">
        <v>1175</v>
      </c>
      <c r="R11" s="10" t="s">
        <v>10</v>
      </c>
      <c r="S11" s="11">
        <f t="shared" si="3"/>
        <v>1175.0000329217835</v>
      </c>
      <c r="T11" s="11">
        <f t="shared" si="4"/>
        <v>4713.669026867897</v>
      </c>
      <c r="U11" s="45">
        <v>97.1</v>
      </c>
      <c r="V11" s="11">
        <f t="shared" si="6"/>
        <v>4810.769026867897</v>
      </c>
      <c r="W11" s="11">
        <f t="shared" si="7"/>
        <v>2.5795008186959234</v>
      </c>
      <c r="X11" s="36">
        <f t="shared" si="5"/>
        <v>1.4109461204278362</v>
      </c>
    </row>
    <row r="12" spans="1:24" ht="12.75">
      <c r="A12" s="6">
        <v>7</v>
      </c>
      <c r="B12" s="7" t="s">
        <v>54</v>
      </c>
      <c r="C12" s="49">
        <v>926</v>
      </c>
      <c r="D12" s="59">
        <v>24114</v>
      </c>
      <c r="E12" s="53"/>
      <c r="F12" s="56" t="s">
        <v>10</v>
      </c>
      <c r="G12" s="54">
        <f t="shared" si="0"/>
        <v>313.482</v>
      </c>
      <c r="H12" s="59">
        <v>70000</v>
      </c>
      <c r="I12" s="59">
        <v>210</v>
      </c>
      <c r="J12" s="10" t="s">
        <v>10</v>
      </c>
      <c r="K12" s="11">
        <f t="shared" si="1"/>
        <v>209.99999530348444</v>
      </c>
      <c r="L12" s="59">
        <v>336666.7</v>
      </c>
      <c r="M12" s="59">
        <v>845</v>
      </c>
      <c r="N12" s="10" t="s">
        <v>10</v>
      </c>
      <c r="O12" s="11">
        <f t="shared" si="2"/>
        <v>1002.8283559739067</v>
      </c>
      <c r="P12" s="59">
        <v>166.7</v>
      </c>
      <c r="Q12" s="59">
        <v>5</v>
      </c>
      <c r="R12" s="10" t="s">
        <v>10</v>
      </c>
      <c r="S12" s="11">
        <f t="shared" si="3"/>
        <v>5.000995883954005</v>
      </c>
      <c r="T12" s="11">
        <f t="shared" si="4"/>
        <v>1531.311347161345</v>
      </c>
      <c r="U12" s="45">
        <v>48.2</v>
      </c>
      <c r="V12" s="11">
        <f t="shared" si="6"/>
        <v>1579.5113471613452</v>
      </c>
      <c r="W12" s="11">
        <f t="shared" si="7"/>
        <v>1.705735796070567</v>
      </c>
      <c r="X12" s="36">
        <f t="shared" si="5"/>
        <v>0.9330104826860921</v>
      </c>
    </row>
    <row r="13" spans="1:24" ht="12.75">
      <c r="A13" s="6">
        <v>8</v>
      </c>
      <c r="B13" s="7" t="s">
        <v>55</v>
      </c>
      <c r="C13" s="49">
        <v>2023</v>
      </c>
      <c r="D13" s="59">
        <v>100723.1</v>
      </c>
      <c r="E13" s="53"/>
      <c r="F13" s="56" t="s">
        <v>10</v>
      </c>
      <c r="G13" s="54">
        <f t="shared" si="0"/>
        <v>1309.4003000000002</v>
      </c>
      <c r="H13" s="59">
        <v>117000</v>
      </c>
      <c r="I13" s="59">
        <v>351</v>
      </c>
      <c r="J13" s="10" t="s">
        <v>10</v>
      </c>
      <c r="K13" s="11">
        <f t="shared" si="1"/>
        <v>350.99999215010973</v>
      </c>
      <c r="L13" s="59">
        <v>739000</v>
      </c>
      <c r="M13" s="59">
        <v>2217</v>
      </c>
      <c r="N13" s="10" t="s">
        <v>10</v>
      </c>
      <c r="O13" s="11">
        <f t="shared" si="2"/>
        <v>2201.2576683845386</v>
      </c>
      <c r="P13" s="59">
        <v>17466.7</v>
      </c>
      <c r="Q13" s="59">
        <v>524</v>
      </c>
      <c r="R13" s="10" t="s">
        <v>10</v>
      </c>
      <c r="S13" s="11">
        <f t="shared" si="3"/>
        <v>524.0005687238117</v>
      </c>
      <c r="T13" s="11">
        <f t="shared" si="4"/>
        <v>4385.6585292584605</v>
      </c>
      <c r="U13" s="45">
        <v>105.3</v>
      </c>
      <c r="V13" s="11">
        <f t="shared" si="6"/>
        <v>4490.958529258461</v>
      </c>
      <c r="W13" s="11">
        <f t="shared" si="7"/>
        <v>2.2199498414525265</v>
      </c>
      <c r="X13" s="36">
        <f t="shared" si="5"/>
        <v>1.214277426717524</v>
      </c>
    </row>
    <row r="14" spans="1:24" ht="12.75">
      <c r="A14" s="6">
        <v>9</v>
      </c>
      <c r="B14" s="7" t="s">
        <v>56</v>
      </c>
      <c r="C14" s="49">
        <v>723</v>
      </c>
      <c r="D14" s="59">
        <v>35997.4</v>
      </c>
      <c r="E14" s="53"/>
      <c r="F14" s="56" t="s">
        <v>10</v>
      </c>
      <c r="G14" s="54">
        <f t="shared" si="0"/>
        <v>467.9662000000001</v>
      </c>
      <c r="H14" s="59">
        <v>33666.7</v>
      </c>
      <c r="I14" s="59">
        <v>101</v>
      </c>
      <c r="J14" s="10" t="s">
        <v>10</v>
      </c>
      <c r="K14" s="11">
        <f t="shared" si="1"/>
        <v>101.00009774119742</v>
      </c>
      <c r="L14" s="59">
        <v>161333.3</v>
      </c>
      <c r="M14" s="59">
        <v>484</v>
      </c>
      <c r="N14" s="10" t="s">
        <v>10</v>
      </c>
      <c r="O14" s="11">
        <f t="shared" si="2"/>
        <v>480.5631445071492</v>
      </c>
      <c r="P14" s="59">
        <v>166.7</v>
      </c>
      <c r="Q14" s="59">
        <v>5</v>
      </c>
      <c r="R14" s="10" t="s">
        <v>10</v>
      </c>
      <c r="S14" s="11">
        <f t="shared" si="3"/>
        <v>5.000995883954005</v>
      </c>
      <c r="T14" s="11">
        <f t="shared" si="4"/>
        <v>1054.5304381323008</v>
      </c>
      <c r="U14" s="45">
        <v>37.6</v>
      </c>
      <c r="V14" s="11">
        <f t="shared" si="6"/>
        <v>1092.1304381323007</v>
      </c>
      <c r="W14" s="11">
        <f t="shared" si="7"/>
        <v>1.5105538563378986</v>
      </c>
      <c r="X14" s="36">
        <f t="shared" si="5"/>
        <v>0.8262490509209286</v>
      </c>
    </row>
    <row r="15" spans="1:24" ht="12.75">
      <c r="A15" s="6">
        <v>10</v>
      </c>
      <c r="B15" s="7" t="s">
        <v>57</v>
      </c>
      <c r="C15" s="49">
        <v>1977</v>
      </c>
      <c r="D15" s="59">
        <v>98432.8</v>
      </c>
      <c r="E15" s="53"/>
      <c r="F15" s="56" t="s">
        <v>10</v>
      </c>
      <c r="G15" s="54">
        <f t="shared" si="0"/>
        <v>1279.6264</v>
      </c>
      <c r="H15" s="59">
        <v>92333.3</v>
      </c>
      <c r="I15" s="59">
        <v>277</v>
      </c>
      <c r="J15" s="10" t="s">
        <v>10</v>
      </c>
      <c r="K15" s="11">
        <f t="shared" si="1"/>
        <v>276.9998938050746</v>
      </c>
      <c r="L15" s="59">
        <v>381000</v>
      </c>
      <c r="M15" s="59">
        <v>1143</v>
      </c>
      <c r="N15" s="10" t="s">
        <v>10</v>
      </c>
      <c r="O15" s="11">
        <f t="shared" si="2"/>
        <v>1134.8838588017716</v>
      </c>
      <c r="P15" s="59">
        <v>3600</v>
      </c>
      <c r="Q15" s="59">
        <v>108</v>
      </c>
      <c r="R15" s="10" t="s">
        <v>10</v>
      </c>
      <c r="S15" s="11">
        <f t="shared" si="3"/>
        <v>107.99991111118428</v>
      </c>
      <c r="T15" s="11">
        <f t="shared" si="4"/>
        <v>2799.5100637180303</v>
      </c>
      <c r="U15" s="45">
        <v>102.9</v>
      </c>
      <c r="V15" s="11">
        <f t="shared" si="6"/>
        <v>2902.4100637180304</v>
      </c>
      <c r="W15" s="11">
        <f t="shared" si="7"/>
        <v>1.4680880443692617</v>
      </c>
      <c r="X15" s="36">
        <f t="shared" si="5"/>
        <v>0.8030209239074789</v>
      </c>
    </row>
    <row r="16" spans="1:24" ht="12.75">
      <c r="A16" s="12"/>
      <c r="B16" s="13" t="s">
        <v>11</v>
      </c>
      <c r="C16" s="13">
        <f>SUM(C6:C15)</f>
        <v>27627</v>
      </c>
      <c r="D16" s="14">
        <f>SUM(D6:D15)</f>
        <v>1375520</v>
      </c>
      <c r="E16" s="14">
        <v>178817.6</v>
      </c>
      <c r="F16" s="13">
        <f>IF(D16&lt;&gt;0,E16/D16,0)</f>
        <v>0.13</v>
      </c>
      <c r="G16" s="14">
        <f>SUM(G6:G15)</f>
        <v>17881.760000000002</v>
      </c>
      <c r="H16" s="14">
        <f>SUM(H6:H15)</f>
        <v>1490466.7</v>
      </c>
      <c r="I16" s="14">
        <f>SUM(I6:I15)</f>
        <v>4471.4</v>
      </c>
      <c r="J16" s="13">
        <f>IF(H16&lt;&gt;0,I16/H16,0)</f>
        <v>0.0029999999329069207</v>
      </c>
      <c r="K16" s="14">
        <f>SUM(K6:K15)</f>
        <v>4471.4</v>
      </c>
      <c r="L16" s="14">
        <f>SUM(L6:L15)</f>
        <v>7745666.600000001</v>
      </c>
      <c r="M16" s="14">
        <f>SUM(M6:M15)</f>
        <v>23072</v>
      </c>
      <c r="N16" s="13">
        <f>IF(L16&lt;&gt;0,M16/L16,0)</f>
        <v>0.0029786977921306343</v>
      </c>
      <c r="O16" s="14">
        <f>SUM(O6:O15)</f>
        <v>23071.999999999996</v>
      </c>
      <c r="P16" s="14">
        <f>P6+P7+P8+P9+P10+P11+P12+P13+P14+P15</f>
        <v>121500.09999999999</v>
      </c>
      <c r="Q16" s="14">
        <f>SUM(Q6:Q15)</f>
        <v>3645</v>
      </c>
      <c r="R16" s="13">
        <f>IF(P16&lt;&gt;0,Q16/P16,0)</f>
        <v>0.0299999753086623</v>
      </c>
      <c r="S16" s="14">
        <f>SUM(S6:S15)</f>
        <v>3645.0000000000005</v>
      </c>
      <c r="T16" s="14">
        <f t="shared" si="4"/>
        <v>49070.159999999996</v>
      </c>
      <c r="U16" s="14">
        <f>SUM(U6:U15)</f>
        <v>1437.6999999999998</v>
      </c>
      <c r="V16" s="14">
        <f>U16+T16</f>
        <v>50507.85999999999</v>
      </c>
      <c r="W16" s="42">
        <f t="shared" si="7"/>
        <v>1.8282064646903389</v>
      </c>
      <c r="X16" s="14">
        <f t="shared" si="5"/>
        <v>1</v>
      </c>
    </row>
  </sheetData>
  <sheetProtection/>
  <mergeCells count="13">
    <mergeCell ref="W3:W4"/>
    <mergeCell ref="X3:X4"/>
    <mergeCell ref="A3:A4"/>
    <mergeCell ref="B3:B4"/>
    <mergeCell ref="D3:G3"/>
    <mergeCell ref="H3:K3"/>
    <mergeCell ref="L3:O3"/>
    <mergeCell ref="P3:S3"/>
    <mergeCell ref="U3:U4"/>
    <mergeCell ref="V3:V4"/>
    <mergeCell ref="C1:K1"/>
    <mergeCell ref="T3:T4"/>
    <mergeCell ref="C3:C4"/>
  </mergeCells>
  <printOptions horizontalCentered="1" verticalCentered="1"/>
  <pageMargins left="0.31496062992125984" right="0.1968503937007874" top="0.1968503937007874" bottom="0.1968503937007874" header="0.15748031496062992" footer="0.15748031496062992"/>
  <pageSetup horizontalDpi="600" verticalDpi="600" orientation="landscape" paperSize="9" scale="70" r:id="rId1"/>
  <colBreaks count="1" manualBreakCount="1">
    <brk id="15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1"/>
  <sheetViews>
    <sheetView zoomScale="110" zoomScaleNormal="110" zoomScaleSheetLayoutView="11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22" sqref="K22"/>
    </sheetView>
  </sheetViews>
  <sheetFormatPr defaultColWidth="8.00390625" defaultRowHeight="12.75"/>
  <cols>
    <col min="1" max="1" width="3.25390625" style="1" customWidth="1"/>
    <col min="2" max="2" width="22.125" style="1" customWidth="1"/>
    <col min="3" max="7" width="10.875" style="1" customWidth="1"/>
    <col min="8" max="8" width="9.875" style="1" customWidth="1"/>
    <col min="9" max="9" width="12.125" style="1" customWidth="1"/>
    <col min="10" max="10" width="10.625" style="1" customWidth="1"/>
    <col min="11" max="11" width="10.125" style="1" customWidth="1"/>
    <col min="12" max="12" width="9.25390625" style="1" customWidth="1"/>
    <col min="13" max="13" width="8.00390625" style="1" customWidth="1"/>
    <col min="14" max="14" width="9.00390625" style="1" customWidth="1"/>
    <col min="15" max="16384" width="8.00390625" style="1" customWidth="1"/>
  </cols>
  <sheetData>
    <row r="1" spans="3:8" ht="27" customHeight="1">
      <c r="C1" s="60" t="s">
        <v>72</v>
      </c>
      <c r="D1" s="60"/>
      <c r="E1" s="60"/>
      <c r="F1" s="60"/>
      <c r="G1" s="60"/>
      <c r="H1" s="60"/>
    </row>
    <row r="2" ht="12"/>
    <row r="3" spans="1:12" ht="30.75" customHeight="1">
      <c r="A3" s="71" t="s">
        <v>0</v>
      </c>
      <c r="B3" s="71" t="s">
        <v>1</v>
      </c>
      <c r="C3" s="73" t="s">
        <v>2</v>
      </c>
      <c r="D3" s="72" t="s">
        <v>47</v>
      </c>
      <c r="E3" s="67" t="s">
        <v>18</v>
      </c>
      <c r="F3" s="67" t="s">
        <v>14</v>
      </c>
      <c r="G3" s="67" t="s">
        <v>15</v>
      </c>
      <c r="H3" s="67" t="s">
        <v>17</v>
      </c>
      <c r="I3" s="61" t="s">
        <v>42</v>
      </c>
      <c r="J3" s="61" t="s">
        <v>40</v>
      </c>
      <c r="K3" s="67" t="s">
        <v>43</v>
      </c>
      <c r="L3" s="61" t="s">
        <v>41</v>
      </c>
    </row>
    <row r="4" spans="1:14" ht="90" customHeight="1">
      <c r="A4" s="71"/>
      <c r="B4" s="71"/>
      <c r="C4" s="73"/>
      <c r="D4" s="72"/>
      <c r="E4" s="68"/>
      <c r="F4" s="68"/>
      <c r="G4" s="68"/>
      <c r="H4" s="68"/>
      <c r="I4" s="61"/>
      <c r="J4" s="61"/>
      <c r="K4" s="68"/>
      <c r="L4" s="61"/>
      <c r="N4" s="48"/>
    </row>
    <row r="5" spans="1:12" s="5" customFormat="1" ht="12">
      <c r="A5" s="4"/>
      <c r="B5" s="4"/>
      <c r="C5" s="4"/>
      <c r="D5" s="4"/>
      <c r="E5" s="4"/>
      <c r="F5" s="4"/>
      <c r="G5" s="16">
        <v>0.8</v>
      </c>
      <c r="H5" s="16">
        <v>1735.3</v>
      </c>
      <c r="I5" s="4"/>
      <c r="J5" s="4"/>
      <c r="K5" s="4"/>
      <c r="L5" s="4"/>
    </row>
    <row r="6" spans="1:17" ht="12.75">
      <c r="A6" s="6">
        <v>1</v>
      </c>
      <c r="B6" s="7" t="s">
        <v>48</v>
      </c>
      <c r="C6" s="49">
        <v>9407</v>
      </c>
      <c r="D6" s="28">
        <f>'ИНП 2021'!X6</f>
        <v>0.86654391049873</v>
      </c>
      <c r="E6" s="28">
        <f>'ИБР 2021'!Y6</f>
        <v>0.7852288272789907</v>
      </c>
      <c r="F6" s="36">
        <f>IF(E6&lt;&gt;0,D6/E6,0)</f>
        <v>1.103555906755889</v>
      </c>
      <c r="G6" s="17">
        <f aca="true" t="shared" si="0" ref="G6:G15">IF(F6&lt;$G$5,($G$5-F6)*E6*$G$18*C6/$C$16,0)</f>
        <v>0</v>
      </c>
      <c r="H6" s="17">
        <f aca="true" t="shared" si="1" ref="H6:H16">IF($G$16&lt;&gt;0,ROUND(G6/$G$16*$H$5,1),0)</f>
        <v>0</v>
      </c>
      <c r="I6" s="47">
        <f>18034.9+M6</f>
        <v>18524.4</v>
      </c>
      <c r="J6" s="40">
        <f>I6+H6</f>
        <v>18524.4</v>
      </c>
      <c r="K6" s="41">
        <f>31450.3-9662.3</f>
        <v>21788</v>
      </c>
      <c r="L6" s="40">
        <f>J6-K6</f>
        <v>-3263.5999999999985</v>
      </c>
      <c r="M6" s="45">
        <v>489.5</v>
      </c>
      <c r="N6" s="50"/>
      <c r="P6" s="55"/>
      <c r="Q6" s="44"/>
    </row>
    <row r="7" spans="1:17" ht="14.25">
      <c r="A7" s="6">
        <v>2</v>
      </c>
      <c r="B7" s="7" t="s">
        <v>49</v>
      </c>
      <c r="C7" s="49">
        <v>5336</v>
      </c>
      <c r="D7" s="28">
        <f>'ИНП 2021'!X7</f>
        <v>0.8173822799097684</v>
      </c>
      <c r="E7" s="28">
        <f>'ИБР 2021'!Y7</f>
        <v>0.9285564083956013</v>
      </c>
      <c r="F7" s="36">
        <f aca="true" t="shared" si="2" ref="F7:F16">IF(E7&lt;&gt;0,D7/E7,0)</f>
        <v>0.8802720788089501</v>
      </c>
      <c r="G7" s="17">
        <f t="shared" si="0"/>
        <v>0</v>
      </c>
      <c r="H7" s="17">
        <f t="shared" si="1"/>
        <v>0</v>
      </c>
      <c r="I7" s="47">
        <f>9358.9+M7</f>
        <v>9636.6</v>
      </c>
      <c r="J7" s="40">
        <f aca="true" t="shared" si="3" ref="J7:J16">I7+H7</f>
        <v>9636.6</v>
      </c>
      <c r="K7" s="41">
        <v>7830.8</v>
      </c>
      <c r="L7" s="40">
        <f aca="true" t="shared" si="4" ref="L7:L16">J7-K7</f>
        <v>1805.8000000000002</v>
      </c>
      <c r="M7" s="45">
        <v>277.7</v>
      </c>
      <c r="N7" s="51"/>
      <c r="P7" s="55"/>
      <c r="Q7" s="44"/>
    </row>
    <row r="8" spans="1:17" ht="14.25">
      <c r="A8" s="6">
        <v>3</v>
      </c>
      <c r="B8" s="7" t="s">
        <v>50</v>
      </c>
      <c r="C8" s="49">
        <v>2523</v>
      </c>
      <c r="D8" s="28">
        <f>'ИНП 2021'!X8</f>
        <v>1.1330795295296472</v>
      </c>
      <c r="E8" s="28">
        <f>'ИБР 2021'!Y8</f>
        <v>0.9840376403878504</v>
      </c>
      <c r="F8" s="36">
        <f t="shared" si="2"/>
        <v>1.151459540798717</v>
      </c>
      <c r="G8" s="17">
        <f t="shared" si="0"/>
        <v>0</v>
      </c>
      <c r="H8" s="17">
        <f t="shared" si="1"/>
        <v>0</v>
      </c>
      <c r="I8" s="47">
        <f>5114.1+M8</f>
        <v>5245.400000000001</v>
      </c>
      <c r="J8" s="40">
        <f t="shared" si="3"/>
        <v>5245.400000000001</v>
      </c>
      <c r="K8" s="41">
        <v>4164</v>
      </c>
      <c r="L8" s="40">
        <f t="shared" si="4"/>
        <v>1081.4000000000005</v>
      </c>
      <c r="M8" s="45">
        <v>131.3</v>
      </c>
      <c r="N8" s="51"/>
      <c r="P8" s="55"/>
      <c r="Q8" s="44"/>
    </row>
    <row r="9" spans="1:17" ht="14.25">
      <c r="A9" s="6">
        <v>4</v>
      </c>
      <c r="B9" s="7" t="s">
        <v>51</v>
      </c>
      <c r="C9" s="49">
        <v>775</v>
      </c>
      <c r="D9" s="28">
        <f>'ИНП 2021'!X9</f>
        <v>2.1156654940559356</v>
      </c>
      <c r="E9" s="28">
        <f>'ИБР 2021'!Y9</f>
        <v>1.9213578097835478</v>
      </c>
      <c r="F9" s="36">
        <f t="shared" si="2"/>
        <v>1.101130400221642</v>
      </c>
      <c r="G9" s="17">
        <f t="shared" si="0"/>
        <v>0</v>
      </c>
      <c r="H9" s="17">
        <f t="shared" si="1"/>
        <v>0</v>
      </c>
      <c r="I9" s="47">
        <f>3012.6+M9</f>
        <v>3052.9</v>
      </c>
      <c r="J9" s="40">
        <f t="shared" si="3"/>
        <v>3052.9</v>
      </c>
      <c r="K9" s="41">
        <v>2928</v>
      </c>
      <c r="L9" s="40">
        <f t="shared" si="4"/>
        <v>124.90000000000009</v>
      </c>
      <c r="M9" s="45">
        <v>40.3</v>
      </c>
      <c r="N9" s="51"/>
      <c r="P9" s="55"/>
      <c r="Q9" s="44"/>
    </row>
    <row r="10" spans="1:17" ht="14.25">
      <c r="A10" s="6">
        <v>5</v>
      </c>
      <c r="B10" s="7" t="s">
        <v>52</v>
      </c>
      <c r="C10" s="49">
        <v>2072</v>
      </c>
      <c r="D10" s="28">
        <f>'ИНП 2021'!X10</f>
        <v>1.1962612409496012</v>
      </c>
      <c r="E10" s="28">
        <f>'ИБР 2021'!Y10</f>
        <v>1.1025993089999497</v>
      </c>
      <c r="F10" s="36">
        <f t="shared" si="2"/>
        <v>1.0849464816322099</v>
      </c>
      <c r="G10" s="17">
        <f t="shared" si="0"/>
        <v>0</v>
      </c>
      <c r="H10" s="17">
        <f t="shared" si="1"/>
        <v>0</v>
      </c>
      <c r="I10" s="47">
        <f>4471.1+M10</f>
        <v>4578.900000000001</v>
      </c>
      <c r="J10" s="40">
        <f t="shared" si="3"/>
        <v>4578.900000000001</v>
      </c>
      <c r="K10" s="41">
        <v>4677.5</v>
      </c>
      <c r="L10" s="40">
        <f t="shared" si="4"/>
        <v>-98.59999999999945</v>
      </c>
      <c r="M10" s="45">
        <v>107.8</v>
      </c>
      <c r="N10" s="51"/>
      <c r="P10" s="55"/>
      <c r="Q10" s="44"/>
    </row>
    <row r="11" spans="1:17" ht="14.25">
      <c r="A11" s="6">
        <v>6</v>
      </c>
      <c r="B11" s="7" t="s">
        <v>53</v>
      </c>
      <c r="C11" s="49">
        <v>1865</v>
      </c>
      <c r="D11" s="28">
        <f>'ИНП 2021'!X11</f>
        <v>1.4109461204278362</v>
      </c>
      <c r="E11" s="28">
        <f>'ИБР 2021'!Y11</f>
        <v>1.0852860453815403</v>
      </c>
      <c r="F11" s="36">
        <f t="shared" si="2"/>
        <v>1.3000684256764838</v>
      </c>
      <c r="G11" s="17">
        <f t="shared" si="0"/>
        <v>0</v>
      </c>
      <c r="H11" s="17">
        <f t="shared" si="1"/>
        <v>0</v>
      </c>
      <c r="I11" s="47">
        <f>4728.1+M11</f>
        <v>4825.200000000001</v>
      </c>
      <c r="J11" s="40">
        <f t="shared" si="3"/>
        <v>4825.200000000001</v>
      </c>
      <c r="K11" s="41">
        <v>4108.8</v>
      </c>
      <c r="L11" s="40">
        <f t="shared" si="4"/>
        <v>716.4000000000005</v>
      </c>
      <c r="M11" s="45">
        <v>97.1</v>
      </c>
      <c r="N11" s="51"/>
      <c r="P11" s="55"/>
      <c r="Q11" s="44"/>
    </row>
    <row r="12" spans="1:17" ht="14.25">
      <c r="A12" s="6">
        <v>7</v>
      </c>
      <c r="B12" s="7" t="s">
        <v>54</v>
      </c>
      <c r="C12" s="49">
        <v>926</v>
      </c>
      <c r="D12" s="28">
        <f>'ИНП 2021'!X12</f>
        <v>0.9330104826860921</v>
      </c>
      <c r="E12" s="28">
        <f>'ИБР 2021'!Y12</f>
        <v>1.4695055338136072</v>
      </c>
      <c r="F12" s="36">
        <f t="shared" si="2"/>
        <v>0.6349145758333943</v>
      </c>
      <c r="G12" s="17">
        <f t="shared" si="0"/>
        <v>443.7644937232663</v>
      </c>
      <c r="H12" s="17">
        <f t="shared" si="1"/>
        <v>443.8</v>
      </c>
      <c r="I12" s="47">
        <f>1538.5+M12</f>
        <v>1586.7</v>
      </c>
      <c r="J12" s="40">
        <f t="shared" si="3"/>
        <v>2030.5</v>
      </c>
      <c r="K12" s="41">
        <v>2157.5</v>
      </c>
      <c r="L12" s="40">
        <f t="shared" si="4"/>
        <v>-127</v>
      </c>
      <c r="M12" s="45">
        <v>48.2</v>
      </c>
      <c r="N12" s="51"/>
      <c r="P12" s="55"/>
      <c r="Q12" s="44"/>
    </row>
    <row r="13" spans="1:17" ht="14.25">
      <c r="A13" s="6">
        <v>8</v>
      </c>
      <c r="B13" s="7" t="s">
        <v>55</v>
      </c>
      <c r="C13" s="49">
        <v>2023</v>
      </c>
      <c r="D13" s="28">
        <f>'ИНП 2021'!X13</f>
        <v>1.214277426717524</v>
      </c>
      <c r="E13" s="28">
        <f>'ИБР 2021'!Y13</f>
        <v>1.0360673568896481</v>
      </c>
      <c r="F13" s="36">
        <f t="shared" si="2"/>
        <v>1.1720062587078082</v>
      </c>
      <c r="G13" s="17">
        <f t="shared" si="0"/>
        <v>0</v>
      </c>
      <c r="H13" s="17">
        <f t="shared" si="1"/>
        <v>0</v>
      </c>
      <c r="I13" s="47">
        <f>4401.4+M13</f>
        <v>4506.7</v>
      </c>
      <c r="J13" s="40">
        <f t="shared" si="3"/>
        <v>4506.7</v>
      </c>
      <c r="K13" s="41">
        <v>4386.1</v>
      </c>
      <c r="L13" s="40">
        <f t="shared" si="4"/>
        <v>120.59999999999945</v>
      </c>
      <c r="M13" s="45">
        <v>105.3</v>
      </c>
      <c r="N13" s="51"/>
      <c r="P13" s="55"/>
      <c r="Q13" s="44"/>
    </row>
    <row r="14" spans="1:17" ht="14.25">
      <c r="A14" s="6">
        <v>9</v>
      </c>
      <c r="B14" s="7" t="s">
        <v>56</v>
      </c>
      <c r="C14" s="49">
        <v>723</v>
      </c>
      <c r="D14" s="28">
        <f>'ИНП 2021'!X14</f>
        <v>0.8262490509209286</v>
      </c>
      <c r="E14" s="28">
        <f>'ИБР 2021'!Y14</f>
        <v>1.7891143773129259</v>
      </c>
      <c r="F14" s="36">
        <f t="shared" si="2"/>
        <v>0.4618201392813541</v>
      </c>
      <c r="G14" s="17">
        <f t="shared" si="0"/>
        <v>864.1432703962482</v>
      </c>
      <c r="H14" s="17">
        <f t="shared" si="1"/>
        <v>864.2</v>
      </c>
      <c r="I14" s="47">
        <f>1108+M14</f>
        <v>1145.6</v>
      </c>
      <c r="J14" s="40">
        <f t="shared" si="3"/>
        <v>2009.8</v>
      </c>
      <c r="K14" s="41">
        <v>1867.5</v>
      </c>
      <c r="L14" s="40">
        <f t="shared" si="4"/>
        <v>142.29999999999995</v>
      </c>
      <c r="M14" s="45">
        <v>37.6</v>
      </c>
      <c r="N14" s="51"/>
      <c r="P14" s="55"/>
      <c r="Q14" s="44"/>
    </row>
    <row r="15" spans="1:17" ht="14.25">
      <c r="A15" s="6">
        <v>10</v>
      </c>
      <c r="B15" s="7" t="s">
        <v>57</v>
      </c>
      <c r="C15" s="49">
        <v>1977</v>
      </c>
      <c r="D15" s="28">
        <f>'ИНП 2021'!X15</f>
        <v>0.8030209239074789</v>
      </c>
      <c r="E15" s="28">
        <f>'ИБР 2021'!Y15</f>
        <v>1.1405644068416476</v>
      </c>
      <c r="F15" s="36">
        <f t="shared" si="2"/>
        <v>0.7040557456383678</v>
      </c>
      <c r="G15" s="17">
        <f t="shared" si="0"/>
        <v>427.37298305718065</v>
      </c>
      <c r="H15" s="17">
        <f t="shared" si="1"/>
        <v>427.4</v>
      </c>
      <c r="I15" s="47">
        <f>2807.6+M15</f>
        <v>2910.5</v>
      </c>
      <c r="J15" s="40">
        <f t="shared" si="3"/>
        <v>3337.9</v>
      </c>
      <c r="K15" s="41">
        <v>2599.5</v>
      </c>
      <c r="L15" s="40">
        <f t="shared" si="4"/>
        <v>738.4000000000001</v>
      </c>
      <c r="M15" s="45">
        <v>102.9</v>
      </c>
      <c r="N15" s="51"/>
      <c r="P15" s="55"/>
      <c r="Q15" s="44"/>
    </row>
    <row r="16" spans="1:17" ht="14.25">
      <c r="A16" s="12"/>
      <c r="B16" s="13" t="s">
        <v>11</v>
      </c>
      <c r="C16" s="43">
        <f>SUM(C6:C15)</f>
        <v>27627</v>
      </c>
      <c r="D16" s="37">
        <f>'ИНП 2021'!X16</f>
        <v>1</v>
      </c>
      <c r="E16" s="37">
        <f>'ИБР 2021'!Y16</f>
        <v>1</v>
      </c>
      <c r="F16" s="38">
        <f t="shared" si="2"/>
        <v>1</v>
      </c>
      <c r="G16" s="39">
        <f>SUM(G6:G15)</f>
        <v>1735.280747176695</v>
      </c>
      <c r="H16" s="39">
        <f t="shared" si="1"/>
        <v>1735.3</v>
      </c>
      <c r="I16" s="39">
        <f>SUM(I6:I15)</f>
        <v>56012.9</v>
      </c>
      <c r="J16" s="39">
        <f t="shared" si="3"/>
        <v>57748.200000000004</v>
      </c>
      <c r="K16" s="39">
        <f>SUM(K6:K15)</f>
        <v>56507.700000000004</v>
      </c>
      <c r="L16" s="39">
        <f t="shared" si="4"/>
        <v>1240.5</v>
      </c>
      <c r="M16" s="1">
        <f>SUM(M6:M15)</f>
        <v>1437.6999999999998</v>
      </c>
      <c r="N16" s="51"/>
      <c r="P16" s="55"/>
      <c r="Q16" s="44"/>
    </row>
    <row r="17" spans="8:14" ht="14.25">
      <c r="H17" s="44"/>
      <c r="I17" s="44"/>
      <c r="N17" s="52"/>
    </row>
    <row r="18" spans="6:17" ht="14.25">
      <c r="F18" s="18" t="s">
        <v>16</v>
      </c>
      <c r="G18" s="9">
        <v>54575.2</v>
      </c>
      <c r="I18" s="44"/>
      <c r="L18" s="44"/>
      <c r="N18" s="52"/>
      <c r="Q18" s="44"/>
    </row>
    <row r="19" spans="12:14" ht="14.25">
      <c r="L19" s="44"/>
      <c r="N19" s="51"/>
    </row>
    <row r="20" ht="11.25">
      <c r="G20" s="44"/>
    </row>
    <row r="21" ht="11.25">
      <c r="G21" s="44"/>
    </row>
  </sheetData>
  <sheetProtection/>
  <mergeCells count="13">
    <mergeCell ref="L3:L4"/>
    <mergeCell ref="K3:K4"/>
    <mergeCell ref="A3:A4"/>
    <mergeCell ref="B3:B4"/>
    <mergeCell ref="D3:D4"/>
    <mergeCell ref="E3:E4"/>
    <mergeCell ref="F3:F4"/>
    <mergeCell ref="C1:H1"/>
    <mergeCell ref="C3:C4"/>
    <mergeCell ref="G3:G4"/>
    <mergeCell ref="H3:H4"/>
    <mergeCell ref="I3:I4"/>
    <mergeCell ref="J3:J4"/>
  </mergeCells>
  <printOptions horizontalCentered="1" verticalCentered="1"/>
  <pageMargins left="0.31496062992125984" right="0.1968503937007874" top="0.1968503937007874" bottom="0.1968503937007874" header="0.15748031496062992" footer="0.15748031496062992"/>
  <pageSetup horizontalDpi="600" verticalDpi="600" orientation="landscape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Y12" sqref="Y12"/>
    </sheetView>
  </sheetViews>
  <sheetFormatPr defaultColWidth="8.00390625" defaultRowHeight="12.75"/>
  <cols>
    <col min="1" max="1" width="3.25390625" style="1" customWidth="1"/>
    <col min="2" max="2" width="22.125" style="1" customWidth="1"/>
    <col min="3" max="5" width="8.75390625" style="19" customWidth="1"/>
    <col min="6" max="7" width="9.00390625" style="19" customWidth="1"/>
    <col min="8" max="10" width="8.75390625" style="19" hidden="1" customWidth="1"/>
    <col min="11" max="14" width="8.75390625" style="19" customWidth="1"/>
    <col min="15" max="15" width="9.875" style="19" customWidth="1"/>
    <col min="16" max="17" width="8.75390625" style="19" customWidth="1"/>
    <col min="18" max="18" width="9.625" style="19" customWidth="1"/>
    <col min="19" max="19" width="10.00390625" style="19" customWidth="1"/>
    <col min="20" max="25" width="8.75390625" style="19" customWidth="1"/>
    <col min="26" max="16384" width="8.00390625" style="1" customWidth="1"/>
  </cols>
  <sheetData>
    <row r="1" spans="2:25" ht="27" customHeight="1">
      <c r="B1" s="60" t="s">
        <v>59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11.25">
      <c r="Y2" s="1" t="s">
        <v>19</v>
      </c>
    </row>
    <row r="3" spans="1:25" ht="30.75" customHeight="1">
      <c r="A3" s="69" t="s">
        <v>0</v>
      </c>
      <c r="B3" s="69" t="s">
        <v>1</v>
      </c>
      <c r="C3" s="62" t="str">
        <f>'[2]МР_П'!C3</f>
        <v>Числен-ность постоян-ного населения, чел</v>
      </c>
      <c r="D3" s="20" t="s">
        <v>20</v>
      </c>
      <c r="E3" s="62" t="s">
        <v>21</v>
      </c>
      <c r="F3" s="61" t="s">
        <v>22</v>
      </c>
      <c r="G3" s="61"/>
      <c r="H3" s="21"/>
      <c r="I3" s="21"/>
      <c r="J3" s="21"/>
      <c r="K3" s="61" t="s">
        <v>23</v>
      </c>
      <c r="L3" s="61"/>
      <c r="M3" s="61"/>
      <c r="N3" s="61"/>
      <c r="O3" s="64" t="s">
        <v>24</v>
      </c>
      <c r="P3" s="65"/>
      <c r="Q3" s="65"/>
      <c r="R3" s="65"/>
      <c r="S3" s="66"/>
      <c r="T3" s="64" t="s">
        <v>25</v>
      </c>
      <c r="U3" s="65"/>
      <c r="V3" s="65"/>
      <c r="W3" s="65"/>
      <c r="X3" s="66"/>
      <c r="Y3" s="67" t="s">
        <v>13</v>
      </c>
    </row>
    <row r="4" spans="1:25" ht="56.25">
      <c r="A4" s="70"/>
      <c r="B4" s="70"/>
      <c r="C4" s="63"/>
      <c r="D4" s="20" t="s">
        <v>26</v>
      </c>
      <c r="E4" s="63"/>
      <c r="F4" s="20" t="s">
        <v>27</v>
      </c>
      <c r="G4" s="20" t="s">
        <v>28</v>
      </c>
      <c r="H4" s="22" t="s">
        <v>29</v>
      </c>
      <c r="I4" s="22" t="s">
        <v>30</v>
      </c>
      <c r="J4" s="22"/>
      <c r="K4" s="20" t="s">
        <v>31</v>
      </c>
      <c r="L4" s="20" t="s">
        <v>32</v>
      </c>
      <c r="M4" s="20" t="s">
        <v>33</v>
      </c>
      <c r="N4" s="20" t="s">
        <v>34</v>
      </c>
      <c r="O4" s="15" t="s">
        <v>35</v>
      </c>
      <c r="P4" s="15" t="s">
        <v>36</v>
      </c>
      <c r="Q4" s="15" t="s">
        <v>37</v>
      </c>
      <c r="R4" s="15" t="s">
        <v>38</v>
      </c>
      <c r="S4" s="15" t="s">
        <v>39</v>
      </c>
      <c r="T4" s="15" t="s">
        <v>35</v>
      </c>
      <c r="U4" s="15" t="s">
        <v>36</v>
      </c>
      <c r="V4" s="15" t="s">
        <v>37</v>
      </c>
      <c r="W4" s="15" t="s">
        <v>38</v>
      </c>
      <c r="X4" s="15" t="s">
        <v>39</v>
      </c>
      <c r="Y4" s="68"/>
    </row>
    <row r="5" spans="1:25" s="5" customFormat="1" ht="11.25">
      <c r="A5" s="4"/>
      <c r="B5" s="4"/>
      <c r="C5" s="4"/>
      <c r="D5" s="4"/>
      <c r="E5" s="4"/>
      <c r="F5" s="4"/>
      <c r="G5" s="4"/>
      <c r="H5" s="23"/>
      <c r="I5" s="23"/>
      <c r="J5" s="23"/>
      <c r="K5" s="4"/>
      <c r="L5" s="4"/>
      <c r="M5" s="4"/>
      <c r="N5" s="4"/>
      <c r="O5" s="4"/>
      <c r="P5" s="4"/>
      <c r="Q5" s="4"/>
      <c r="R5" s="4"/>
      <c r="S5" s="4"/>
      <c r="T5" s="24">
        <v>0.263</v>
      </c>
      <c r="U5" s="24">
        <v>0</v>
      </c>
      <c r="V5" s="24">
        <v>0</v>
      </c>
      <c r="W5" s="24">
        <v>0.322</v>
      </c>
      <c r="X5" s="24">
        <v>0.415</v>
      </c>
      <c r="Y5" s="4"/>
    </row>
    <row r="6" spans="1:25" ht="11.25">
      <c r="A6" s="6">
        <v>1</v>
      </c>
      <c r="B6" s="7" t="s">
        <v>48</v>
      </c>
      <c r="C6" s="49">
        <v>9407</v>
      </c>
      <c r="D6" s="8">
        <v>9407</v>
      </c>
      <c r="E6" s="8"/>
      <c r="F6" s="25">
        <v>2381.65</v>
      </c>
      <c r="G6" s="25">
        <v>47.18</v>
      </c>
      <c r="H6" s="26">
        <v>21467.3</v>
      </c>
      <c r="I6" s="26">
        <f aca="true" t="shared" si="0" ref="I6:I12">F6*H6</f>
        <v>51127595.045</v>
      </c>
      <c r="J6" s="27">
        <f>'ИБР 2022'!G6*'ИБР 2022'!H6/'ИБР 2022'!$H$16</f>
        <v>9.139472599463991</v>
      </c>
      <c r="K6" s="28">
        <f aca="true" t="shared" si="1" ref="K6:K15">IF(C6&lt;&gt;0,0.6+0.4*($C$16/COUNT($A$6:$A$15))/C6,0)</f>
        <v>0.7174742213245455</v>
      </c>
      <c r="L6" s="28">
        <f>IF(C6&lt;&gt;0,1+E6/C6,0)</f>
        <v>1</v>
      </c>
      <c r="M6" s="28">
        <f>IF(C6&lt;&gt;0,1+D6/C6,0)</f>
        <v>2</v>
      </c>
      <c r="N6" s="28">
        <f aca="true" t="shared" si="2" ref="N6:N16">IF($G$16&lt;&gt;0,0.9+0.1*(0.8*F6/$F$16+0.2*G6/$G$16),0)</f>
        <v>1</v>
      </c>
      <c r="O6" s="17">
        <f aca="true" t="shared" si="3" ref="O6:O16">C6*K6</f>
        <v>6749.28</v>
      </c>
      <c r="P6" s="17">
        <f>C6*L6*M6</f>
        <v>18814</v>
      </c>
      <c r="Q6" s="17">
        <f aca="true" t="shared" si="4" ref="Q6:Q16">C6*M6</f>
        <v>18814</v>
      </c>
      <c r="R6" s="17">
        <f aca="true" t="shared" si="5" ref="R6:R16">C6*K6*N6</f>
        <v>6749.28</v>
      </c>
      <c r="S6" s="17">
        <f aca="true" t="shared" si="6" ref="S6:S16">C6*L6</f>
        <v>9407</v>
      </c>
      <c r="T6" s="28">
        <f aca="true" t="shared" si="7" ref="T6:T16">IF(C6&lt;&gt;0,(O6/$C6)/(O$16/$C$16),0)</f>
        <v>0.7174742213245455</v>
      </c>
      <c r="U6" s="28">
        <f aca="true" t="shared" si="8" ref="U6:U16">IF(C6&lt;&gt;0,(P6/$C6)/(P$16/$C$16),0)</f>
        <v>1.2509785301031062</v>
      </c>
      <c r="V6" s="28">
        <f aca="true" t="shared" si="9" ref="V6:V16">IF(C6&lt;&gt;0,(Q6/$C6)/(Q$16/$C$16),0)</f>
        <v>1.4203747975630445</v>
      </c>
      <c r="W6" s="28">
        <f aca="true" t="shared" si="10" ref="W6:W16">IF(C6&lt;&gt;0,(R6/$C6)/(R$16/$C$16),0)</f>
        <v>0.7174742213245455</v>
      </c>
      <c r="X6" s="28">
        <f aca="true" t="shared" si="11" ref="X6:X16">IF(C6&lt;&gt;0,(S6/$C6)/(S$16/$C$16),0)</f>
        <v>0.8807383320581484</v>
      </c>
      <c r="Y6" s="29">
        <f>IF(SUM($T$5:$X$5)=1,T6*$T$5+U6*$U$5+V6*$V$5+W6*$W$5+X6*$X$5,0)</f>
        <v>0.7852288272789907</v>
      </c>
    </row>
    <row r="7" spans="1:25" ht="11.25">
      <c r="A7" s="6">
        <v>2</v>
      </c>
      <c r="B7" s="7" t="s">
        <v>49</v>
      </c>
      <c r="C7" s="49">
        <v>5336</v>
      </c>
      <c r="D7" s="8">
        <v>1867</v>
      </c>
      <c r="E7" s="8">
        <v>1327</v>
      </c>
      <c r="F7" s="25">
        <v>2381.65</v>
      </c>
      <c r="G7" s="25">
        <v>47.18</v>
      </c>
      <c r="H7" s="26">
        <v>13753.5</v>
      </c>
      <c r="I7" s="26">
        <f t="shared" si="0"/>
        <v>32756023.275000002</v>
      </c>
      <c r="J7" s="27">
        <f>'ИБР 2022'!G7*'ИБР 2022'!H7/'ИБР 2022'!$H$16</f>
        <v>5.855405029823406</v>
      </c>
      <c r="K7" s="28">
        <f t="shared" si="1"/>
        <v>0.8070989505247376</v>
      </c>
      <c r="L7" s="28">
        <f aca="true" t="shared" si="12" ref="L7:L15">IF(C7&lt;&gt;0,1+E7/C7,0)</f>
        <v>1.2486881559220389</v>
      </c>
      <c r="M7" s="28">
        <f aca="true" t="shared" si="13" ref="M7:M15">IF(C7&lt;&gt;0,1+D7/C7,0)</f>
        <v>1.349887556221889</v>
      </c>
      <c r="N7" s="28">
        <f t="shared" si="2"/>
        <v>1</v>
      </c>
      <c r="O7" s="17">
        <f t="shared" si="3"/>
        <v>4306.679999999999</v>
      </c>
      <c r="P7" s="17">
        <f aca="true" t="shared" si="14" ref="P7:P16">C7*L7*M7</f>
        <v>8994.300787106446</v>
      </c>
      <c r="Q7" s="17">
        <f t="shared" si="4"/>
        <v>7203</v>
      </c>
      <c r="R7" s="17">
        <f t="shared" si="5"/>
        <v>4306.679999999999</v>
      </c>
      <c r="S7" s="17">
        <f t="shared" si="6"/>
        <v>6662.999999999999</v>
      </c>
      <c r="T7" s="28">
        <f t="shared" si="7"/>
        <v>0.8070989505247376</v>
      </c>
      <c r="U7" s="28">
        <f t="shared" si="8"/>
        <v>1.0543175766453927</v>
      </c>
      <c r="V7" s="28">
        <f t="shared" si="9"/>
        <v>0.9586731322007693</v>
      </c>
      <c r="W7" s="28">
        <f t="shared" si="10"/>
        <v>0.8070989505247376</v>
      </c>
      <c r="X7" s="28">
        <f t="shared" si="11"/>
        <v>1.0997675237075417</v>
      </c>
      <c r="Y7" s="29">
        <f aca="true" t="shared" si="15" ref="Y7:Y16">IF(SUM($T$5:$X$5)=1,T7*$T$5+U7*$U$5+V7*$V$5+W7*$W$5+X7*$X$5,0)</f>
        <v>0.9285564083956013</v>
      </c>
    </row>
    <row r="8" spans="1:25" ht="11.25">
      <c r="A8" s="6">
        <v>3</v>
      </c>
      <c r="B8" s="7" t="s">
        <v>50</v>
      </c>
      <c r="C8" s="49">
        <v>2523</v>
      </c>
      <c r="D8" s="8"/>
      <c r="E8" s="8">
        <v>78</v>
      </c>
      <c r="F8" s="25">
        <v>2381.65</v>
      </c>
      <c r="G8" s="25">
        <v>47.18</v>
      </c>
      <c r="H8" s="26">
        <v>16300</v>
      </c>
      <c r="I8" s="26">
        <f t="shared" si="0"/>
        <v>38820895</v>
      </c>
      <c r="J8" s="27">
        <f>'ИБР 2022'!G8*'ИБР 2022'!H8/'ИБР 2022'!$H$16</f>
        <v>6.939550077152835</v>
      </c>
      <c r="K8" s="28">
        <f t="shared" si="1"/>
        <v>1.0380023781212842</v>
      </c>
      <c r="L8" s="28">
        <f t="shared" si="12"/>
        <v>1.0309155766944114</v>
      </c>
      <c r="M8" s="28">
        <f t="shared" si="13"/>
        <v>1</v>
      </c>
      <c r="N8" s="28">
        <f t="shared" si="2"/>
        <v>1</v>
      </c>
      <c r="O8" s="17">
        <f t="shared" si="3"/>
        <v>2618.88</v>
      </c>
      <c r="P8" s="17">
        <f t="shared" si="14"/>
        <v>2601</v>
      </c>
      <c r="Q8" s="17">
        <f t="shared" si="4"/>
        <v>2523</v>
      </c>
      <c r="R8" s="17">
        <f t="shared" si="5"/>
        <v>2618.88</v>
      </c>
      <c r="S8" s="17">
        <f t="shared" si="6"/>
        <v>2601</v>
      </c>
      <c r="T8" s="28">
        <f t="shared" si="7"/>
        <v>1.0380023781212842</v>
      </c>
      <c r="U8" s="28">
        <f t="shared" si="8"/>
        <v>0.6448266263967853</v>
      </c>
      <c r="V8" s="28">
        <f t="shared" si="9"/>
        <v>0.7101873987815223</v>
      </c>
      <c r="W8" s="28">
        <f t="shared" si="10"/>
        <v>1.0380023781212842</v>
      </c>
      <c r="X8" s="28">
        <f t="shared" si="11"/>
        <v>0.9079668655106001</v>
      </c>
      <c r="Y8" s="29">
        <f t="shared" si="15"/>
        <v>0.9840376403878504</v>
      </c>
    </row>
    <row r="9" spans="1:25" ht="11.25">
      <c r="A9" s="6">
        <v>4</v>
      </c>
      <c r="B9" s="7" t="s">
        <v>51</v>
      </c>
      <c r="C9" s="49">
        <v>775</v>
      </c>
      <c r="D9" s="8"/>
      <c r="E9" s="8">
        <v>786</v>
      </c>
      <c r="F9" s="25">
        <v>2381.65</v>
      </c>
      <c r="G9" s="25">
        <v>47.18</v>
      </c>
      <c r="H9" s="26"/>
      <c r="I9" s="26">
        <f t="shared" si="0"/>
        <v>0</v>
      </c>
      <c r="J9" s="27">
        <f>'ИБР 2022'!G9*'ИБР 2022'!H9/'ИБР 2022'!$H$16</f>
        <v>0</v>
      </c>
      <c r="K9" s="28">
        <f t="shared" si="1"/>
        <v>2.025909677419355</v>
      </c>
      <c r="L9" s="28">
        <f t="shared" si="12"/>
        <v>2.0141935483870967</v>
      </c>
      <c r="M9" s="28">
        <f t="shared" si="13"/>
        <v>1</v>
      </c>
      <c r="N9" s="28">
        <f t="shared" si="2"/>
        <v>1</v>
      </c>
      <c r="O9" s="17">
        <f t="shared" si="3"/>
        <v>1570.08</v>
      </c>
      <c r="P9" s="17">
        <f t="shared" si="14"/>
        <v>1561</v>
      </c>
      <c r="Q9" s="17">
        <f t="shared" si="4"/>
        <v>775</v>
      </c>
      <c r="R9" s="17">
        <f t="shared" si="5"/>
        <v>1570.08</v>
      </c>
      <c r="S9" s="17">
        <f t="shared" si="6"/>
        <v>1561</v>
      </c>
      <c r="T9" s="28">
        <f t="shared" si="7"/>
        <v>2.025909677419355</v>
      </c>
      <c r="U9" s="28">
        <f t="shared" si="8"/>
        <v>1.259856442252225</v>
      </c>
      <c r="V9" s="28">
        <f t="shared" si="9"/>
        <v>0.7101873987815223</v>
      </c>
      <c r="W9" s="28">
        <f t="shared" si="10"/>
        <v>2.025909677419355</v>
      </c>
      <c r="X9" s="28">
        <f t="shared" si="11"/>
        <v>1.773977466248735</v>
      </c>
      <c r="Y9" s="29">
        <f t="shared" si="15"/>
        <v>1.9213578097835478</v>
      </c>
    </row>
    <row r="10" spans="1:25" ht="11.25">
      <c r="A10" s="6">
        <v>5</v>
      </c>
      <c r="B10" s="7" t="s">
        <v>52</v>
      </c>
      <c r="C10" s="49">
        <v>2072</v>
      </c>
      <c r="D10" s="8"/>
      <c r="E10" s="8">
        <v>420</v>
      </c>
      <c r="F10" s="25">
        <v>2381.65</v>
      </c>
      <c r="G10" s="25">
        <v>47.18</v>
      </c>
      <c r="H10" s="26">
        <v>20636.3</v>
      </c>
      <c r="I10" s="26">
        <f t="shared" si="0"/>
        <v>49148443.895</v>
      </c>
      <c r="J10" s="27">
        <f>'ИБР 2022'!G10*'ИБР 2022'!H10/'ИБР 2022'!$H$16</f>
        <v>8.785683267309757</v>
      </c>
      <c r="K10" s="28">
        <f t="shared" si="1"/>
        <v>1.1333397683397681</v>
      </c>
      <c r="L10" s="28">
        <f t="shared" si="12"/>
        <v>1.2027027027027026</v>
      </c>
      <c r="M10" s="28">
        <f t="shared" si="13"/>
        <v>1</v>
      </c>
      <c r="N10" s="28">
        <f t="shared" si="2"/>
        <v>1</v>
      </c>
      <c r="O10" s="17">
        <f t="shared" si="3"/>
        <v>2348.2799999999997</v>
      </c>
      <c r="P10" s="17">
        <f t="shared" si="14"/>
        <v>2492</v>
      </c>
      <c r="Q10" s="17">
        <f t="shared" si="4"/>
        <v>2072</v>
      </c>
      <c r="R10" s="17">
        <f t="shared" si="5"/>
        <v>2348.2799999999997</v>
      </c>
      <c r="S10" s="17">
        <f t="shared" si="6"/>
        <v>2492</v>
      </c>
      <c r="T10" s="28">
        <f t="shared" si="7"/>
        <v>1.1333397683397681</v>
      </c>
      <c r="U10" s="28">
        <f t="shared" si="8"/>
        <v>0.75227762958903</v>
      </c>
      <c r="V10" s="28">
        <f t="shared" si="9"/>
        <v>0.7101873987815223</v>
      </c>
      <c r="W10" s="28">
        <f t="shared" si="10"/>
        <v>1.1333397683397681</v>
      </c>
      <c r="X10" s="28">
        <f t="shared" si="11"/>
        <v>1.0592663723402056</v>
      </c>
      <c r="Y10" s="29">
        <f t="shared" si="15"/>
        <v>1.1025993089999497</v>
      </c>
    </row>
    <row r="11" spans="1:25" ht="11.25">
      <c r="A11" s="6">
        <v>6</v>
      </c>
      <c r="B11" s="7" t="s">
        <v>53</v>
      </c>
      <c r="C11" s="49">
        <v>1865</v>
      </c>
      <c r="D11" s="8"/>
      <c r="E11" s="8">
        <v>113</v>
      </c>
      <c r="F11" s="25">
        <v>2381.65</v>
      </c>
      <c r="G11" s="25">
        <v>47.18</v>
      </c>
      <c r="H11" s="26">
        <v>5640</v>
      </c>
      <c r="I11" s="26">
        <f t="shared" si="0"/>
        <v>13432506</v>
      </c>
      <c r="J11" s="27">
        <f>'ИБР 2022'!G11*'ИБР 2022'!H11/'ИБР 2022'!$H$16</f>
        <v>2.4011694745485883</v>
      </c>
      <c r="K11" s="28">
        <f t="shared" si="1"/>
        <v>1.1925361930294907</v>
      </c>
      <c r="L11" s="28">
        <f t="shared" si="12"/>
        <v>1.0605898123324398</v>
      </c>
      <c r="M11" s="28">
        <f t="shared" si="13"/>
        <v>1</v>
      </c>
      <c r="N11" s="28">
        <f t="shared" si="2"/>
        <v>1</v>
      </c>
      <c r="O11" s="17">
        <f t="shared" si="3"/>
        <v>2224.08</v>
      </c>
      <c r="P11" s="17">
        <f t="shared" si="14"/>
        <v>1978.0000000000002</v>
      </c>
      <c r="Q11" s="17">
        <f t="shared" si="4"/>
        <v>1865</v>
      </c>
      <c r="R11" s="17">
        <f t="shared" si="5"/>
        <v>2224.08</v>
      </c>
      <c r="S11" s="17">
        <f t="shared" si="6"/>
        <v>1978.0000000000002</v>
      </c>
      <c r="T11" s="28">
        <f t="shared" si="7"/>
        <v>1.1925361930294907</v>
      </c>
      <c r="U11" s="28">
        <f t="shared" si="8"/>
        <v>0.6633875422369824</v>
      </c>
      <c r="V11" s="28">
        <f t="shared" si="9"/>
        <v>0.7101873987815223</v>
      </c>
      <c r="W11" s="28">
        <f t="shared" si="10"/>
        <v>1.1925361930294907</v>
      </c>
      <c r="X11" s="28">
        <f t="shared" si="11"/>
        <v>0.9341021023115377</v>
      </c>
      <c r="Y11" s="29">
        <f t="shared" si="15"/>
        <v>1.0852860453815403</v>
      </c>
    </row>
    <row r="12" spans="1:25" ht="11.25">
      <c r="A12" s="6">
        <v>7</v>
      </c>
      <c r="B12" s="7" t="s">
        <v>54</v>
      </c>
      <c r="C12" s="49">
        <v>926</v>
      </c>
      <c r="D12" s="8"/>
      <c r="E12" s="8">
        <v>139</v>
      </c>
      <c r="F12" s="25">
        <v>2381.65</v>
      </c>
      <c r="G12" s="25">
        <v>47.18</v>
      </c>
      <c r="H12" s="26">
        <v>6002.5</v>
      </c>
      <c r="I12" s="26">
        <f t="shared" si="0"/>
        <v>14295854.125</v>
      </c>
      <c r="J12" s="27">
        <f>'ИБР 2022'!G12*'ИБР 2022'!H12/'ИБР 2022'!$H$16</f>
        <v>2.555499959393245</v>
      </c>
      <c r="K12" s="28">
        <f t="shared" si="1"/>
        <v>1.7933909287257017</v>
      </c>
      <c r="L12" s="28">
        <f t="shared" si="12"/>
        <v>1.150107991360691</v>
      </c>
      <c r="M12" s="28">
        <f t="shared" si="13"/>
        <v>1</v>
      </c>
      <c r="N12" s="28">
        <f t="shared" si="2"/>
        <v>1</v>
      </c>
      <c r="O12" s="17">
        <f t="shared" si="3"/>
        <v>1660.6799999999998</v>
      </c>
      <c r="P12" s="17">
        <f t="shared" si="14"/>
        <v>1065</v>
      </c>
      <c r="Q12" s="17">
        <f t="shared" si="4"/>
        <v>926</v>
      </c>
      <c r="R12" s="17">
        <f t="shared" si="5"/>
        <v>1660.6799999999998</v>
      </c>
      <c r="S12" s="17">
        <f t="shared" si="6"/>
        <v>1065</v>
      </c>
      <c r="T12" s="28">
        <f t="shared" si="7"/>
        <v>1.7933909287257017</v>
      </c>
      <c r="U12" s="28">
        <f t="shared" si="8"/>
        <v>0.7193802022461167</v>
      </c>
      <c r="V12" s="28">
        <f t="shared" si="9"/>
        <v>0.7101873987815223</v>
      </c>
      <c r="W12" s="28">
        <f t="shared" si="10"/>
        <v>1.7933909287257017</v>
      </c>
      <c r="X12" s="28">
        <f t="shared" si="11"/>
        <v>1.0129441939977626</v>
      </c>
      <c r="Y12" s="29">
        <f t="shared" si="15"/>
        <v>1.4695055338136072</v>
      </c>
    </row>
    <row r="13" spans="1:25" ht="11.25">
      <c r="A13" s="6">
        <v>8</v>
      </c>
      <c r="B13" s="7" t="s">
        <v>55</v>
      </c>
      <c r="C13" s="49">
        <v>2023</v>
      </c>
      <c r="D13" s="8"/>
      <c r="E13" s="8"/>
      <c r="F13" s="25">
        <v>2381.65</v>
      </c>
      <c r="G13" s="25">
        <v>47.18</v>
      </c>
      <c r="H13" s="26"/>
      <c r="I13" s="26"/>
      <c r="J13" s="27"/>
      <c r="K13" s="28">
        <f t="shared" si="1"/>
        <v>1.1462580326248146</v>
      </c>
      <c r="L13" s="28">
        <f t="shared" si="12"/>
        <v>1</v>
      </c>
      <c r="M13" s="28">
        <f t="shared" si="13"/>
        <v>1</v>
      </c>
      <c r="N13" s="28">
        <f t="shared" si="2"/>
        <v>1</v>
      </c>
      <c r="O13" s="17">
        <f t="shared" si="3"/>
        <v>2318.88</v>
      </c>
      <c r="P13" s="17">
        <f t="shared" si="14"/>
        <v>2023</v>
      </c>
      <c r="Q13" s="17">
        <f t="shared" si="4"/>
        <v>2023</v>
      </c>
      <c r="R13" s="17">
        <f t="shared" si="5"/>
        <v>2318.88</v>
      </c>
      <c r="S13" s="17">
        <f t="shared" si="6"/>
        <v>2023</v>
      </c>
      <c r="T13" s="28">
        <f t="shared" si="7"/>
        <v>1.1462580326248146</v>
      </c>
      <c r="U13" s="28">
        <f t="shared" si="8"/>
        <v>0.6254892650515531</v>
      </c>
      <c r="V13" s="28">
        <f t="shared" si="9"/>
        <v>0.7101873987815223</v>
      </c>
      <c r="W13" s="28">
        <f t="shared" si="10"/>
        <v>1.1462580326248146</v>
      </c>
      <c r="X13" s="28">
        <f t="shared" si="11"/>
        <v>0.8807383320581484</v>
      </c>
      <c r="Y13" s="29">
        <f t="shared" si="15"/>
        <v>1.0360673568896481</v>
      </c>
    </row>
    <row r="14" spans="1:25" ht="11.25">
      <c r="A14" s="6">
        <v>9</v>
      </c>
      <c r="B14" s="7" t="s">
        <v>56</v>
      </c>
      <c r="C14" s="49">
        <v>723</v>
      </c>
      <c r="D14" s="8"/>
      <c r="E14" s="8">
        <v>353</v>
      </c>
      <c r="F14" s="25">
        <v>2381.65</v>
      </c>
      <c r="G14" s="25">
        <v>47.18</v>
      </c>
      <c r="H14" s="26">
        <v>14166.2</v>
      </c>
      <c r="I14" s="26">
        <f>F14*H14</f>
        <v>33738930.230000004</v>
      </c>
      <c r="J14" s="27">
        <f>'ИБР 2022'!G14*'ИБР 2022'!H14/'ИБР 2022'!$H$16</f>
        <v>6.031107625948619</v>
      </c>
      <c r="K14" s="28">
        <f t="shared" si="1"/>
        <v>2.1284647302904562</v>
      </c>
      <c r="L14" s="28">
        <f t="shared" si="12"/>
        <v>1.4882434301521439</v>
      </c>
      <c r="M14" s="28">
        <f t="shared" si="13"/>
        <v>1</v>
      </c>
      <c r="N14" s="28">
        <f t="shared" si="2"/>
        <v>1</v>
      </c>
      <c r="O14" s="17">
        <f t="shared" si="3"/>
        <v>1538.8799999999999</v>
      </c>
      <c r="P14" s="17">
        <f t="shared" si="14"/>
        <v>1076</v>
      </c>
      <c r="Q14" s="17">
        <f t="shared" si="4"/>
        <v>723</v>
      </c>
      <c r="R14" s="17">
        <f t="shared" si="5"/>
        <v>1538.8799999999999</v>
      </c>
      <c r="S14" s="17">
        <f t="shared" si="6"/>
        <v>1076</v>
      </c>
      <c r="T14" s="28">
        <f t="shared" si="7"/>
        <v>2.1284647302904562</v>
      </c>
      <c r="U14" s="28">
        <f t="shared" si="8"/>
        <v>0.9308802893436668</v>
      </c>
      <c r="V14" s="28">
        <f t="shared" si="9"/>
        <v>0.7101873987815223</v>
      </c>
      <c r="W14" s="28">
        <f t="shared" si="10"/>
        <v>2.1284647302904562</v>
      </c>
      <c r="X14" s="28">
        <f t="shared" si="11"/>
        <v>1.3107530363686968</v>
      </c>
      <c r="Y14" s="29">
        <f t="shared" si="15"/>
        <v>1.7891143773129259</v>
      </c>
    </row>
    <row r="15" spans="1:25" ht="11.25">
      <c r="A15" s="6">
        <v>10</v>
      </c>
      <c r="B15" s="7" t="s">
        <v>57</v>
      </c>
      <c r="C15" s="49">
        <v>1977</v>
      </c>
      <c r="D15" s="8"/>
      <c r="E15" s="8">
        <v>525</v>
      </c>
      <c r="F15" s="25">
        <v>2381.65</v>
      </c>
      <c r="G15" s="25">
        <v>47.18</v>
      </c>
      <c r="H15" s="26">
        <v>12853.2</v>
      </c>
      <c r="I15" s="26">
        <f>F15*H15</f>
        <v>30611823.78</v>
      </c>
      <c r="J15" s="27">
        <f>'ИБР 2022'!G15*'ИБР 2022'!H15/'ИБР 2022'!$H$16</f>
        <v>5.472111966359559</v>
      </c>
      <c r="K15" s="28">
        <f t="shared" si="1"/>
        <v>1.15896813353566</v>
      </c>
      <c r="L15" s="28">
        <f t="shared" si="12"/>
        <v>1.2655538694992412</v>
      </c>
      <c r="M15" s="28">
        <f t="shared" si="13"/>
        <v>1</v>
      </c>
      <c r="N15" s="28">
        <f t="shared" si="2"/>
        <v>1</v>
      </c>
      <c r="O15" s="17">
        <f t="shared" si="3"/>
        <v>2291.28</v>
      </c>
      <c r="P15" s="17">
        <f t="shared" si="14"/>
        <v>2502</v>
      </c>
      <c r="Q15" s="17">
        <f t="shared" si="4"/>
        <v>1977</v>
      </c>
      <c r="R15" s="17">
        <f t="shared" si="5"/>
        <v>2291.28</v>
      </c>
      <c r="S15" s="17">
        <f t="shared" si="6"/>
        <v>2502</v>
      </c>
      <c r="T15" s="28">
        <f t="shared" si="7"/>
        <v>1.15896813353566</v>
      </c>
      <c r="U15" s="28">
        <f t="shared" si="8"/>
        <v>0.7915903597162295</v>
      </c>
      <c r="V15" s="28">
        <f t="shared" si="9"/>
        <v>0.7101873987815223</v>
      </c>
      <c r="W15" s="28">
        <f t="shared" si="10"/>
        <v>1.15896813353566</v>
      </c>
      <c r="X15" s="28">
        <f t="shared" si="11"/>
        <v>1.1146218041524973</v>
      </c>
      <c r="Y15" s="29">
        <f t="shared" si="15"/>
        <v>1.1405644068416476</v>
      </c>
    </row>
    <row r="16" spans="1:25" ht="12.75">
      <c r="A16" s="12"/>
      <c r="B16" s="13" t="s">
        <v>11</v>
      </c>
      <c r="C16" s="13">
        <f>SUM(C6:C15)</f>
        <v>27627</v>
      </c>
      <c r="D16" s="30">
        <f>SUM(D6:D15)</f>
        <v>11274</v>
      </c>
      <c r="E16" s="30">
        <f>SUM(E6:E15)</f>
        <v>3741</v>
      </c>
      <c r="F16" s="25">
        <v>2381.65</v>
      </c>
      <c r="G16" s="25">
        <v>47.18</v>
      </c>
      <c r="H16" s="31">
        <f>SUM(H6:H15)</f>
        <v>110819</v>
      </c>
      <c r="I16" s="31">
        <f>SUM(I6:I15)</f>
        <v>263932071.35</v>
      </c>
      <c r="J16" s="32">
        <f>SUM(J6:J15)</f>
        <v>47.18000000000001</v>
      </c>
      <c r="K16" s="29">
        <f>IF(C16&lt;&gt;0,0.6+0.4*($C$16/COUNT($A$6:$A$15))/(C16/COUNT($A$6:$A$15)),0)</f>
        <v>1</v>
      </c>
      <c r="L16" s="29">
        <f>IF(C16&lt;&gt;0,1+E16/C16,0)</f>
        <v>1.1354110109675317</v>
      </c>
      <c r="M16" s="29">
        <f>IF(C16&lt;&gt;0,1+D16/C16,0)</f>
        <v>1.408079053100228</v>
      </c>
      <c r="N16" s="29">
        <f t="shared" si="2"/>
        <v>1</v>
      </c>
      <c r="O16" s="33">
        <f t="shared" si="3"/>
        <v>27627</v>
      </c>
      <c r="P16" s="33">
        <f t="shared" si="14"/>
        <v>44168.623737647955</v>
      </c>
      <c r="Q16" s="33">
        <f t="shared" si="4"/>
        <v>38901</v>
      </c>
      <c r="R16" s="33">
        <f t="shared" si="5"/>
        <v>27627</v>
      </c>
      <c r="S16" s="33">
        <f t="shared" si="6"/>
        <v>31368</v>
      </c>
      <c r="T16" s="29">
        <f t="shared" si="7"/>
        <v>1</v>
      </c>
      <c r="U16" s="29">
        <f t="shared" si="8"/>
        <v>1</v>
      </c>
      <c r="V16" s="29">
        <f t="shared" si="9"/>
        <v>1</v>
      </c>
      <c r="W16" s="29">
        <f t="shared" si="10"/>
        <v>1</v>
      </c>
      <c r="X16" s="29">
        <f t="shared" si="11"/>
        <v>1</v>
      </c>
      <c r="Y16" s="29">
        <f t="shared" si="15"/>
        <v>1</v>
      </c>
    </row>
    <row r="17" spans="3:25" ht="11.2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3:25" ht="11.25"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3:25" ht="11.25"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</row>
  </sheetData>
  <sheetProtection/>
  <mergeCells count="10">
    <mergeCell ref="O3:S3"/>
    <mergeCell ref="T3:X3"/>
    <mergeCell ref="Y3:Y4"/>
    <mergeCell ref="B1:N1"/>
    <mergeCell ref="A3:A4"/>
    <mergeCell ref="B3:B4"/>
    <mergeCell ref="C3:C4"/>
    <mergeCell ref="E3:E4"/>
    <mergeCell ref="F3:G3"/>
    <mergeCell ref="K3:N3"/>
  </mergeCells>
  <printOptions horizontalCentered="1" verticalCentered="1"/>
  <pageMargins left="0.31496062992125984" right="0.1968503937007874" top="0.1968503937007874" bottom="0.1968503937007874" header="0.15748031496062992" footer="0.15748031496062992"/>
  <pageSetup horizontalDpi="600" verticalDpi="600" orientation="landscape" paperSize="9" scale="85" r:id="rId1"/>
  <colBreaks count="1" manualBreakCount="1">
    <brk id="14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16"/>
  <sheetViews>
    <sheetView zoomScaleSheetLayoutView="100" zoomScalePageLayoutView="0" workbookViewId="0" topLeftCell="A1">
      <pane xSplit="2" ySplit="5" topLeftCell="I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X12" sqref="X12"/>
    </sheetView>
  </sheetViews>
  <sheetFormatPr defaultColWidth="8.00390625" defaultRowHeight="12.75"/>
  <cols>
    <col min="1" max="1" width="3.25390625" style="1" customWidth="1"/>
    <col min="2" max="2" width="22.125" style="1" customWidth="1"/>
    <col min="3" max="3" width="10.875" style="1" customWidth="1"/>
    <col min="4" max="24" width="12.00390625" style="1" customWidth="1"/>
    <col min="25" max="16384" width="8.00390625" style="1" customWidth="1"/>
  </cols>
  <sheetData>
    <row r="1" spans="3:24" ht="27" customHeight="1">
      <c r="C1" s="60" t="s">
        <v>60</v>
      </c>
      <c r="D1" s="60"/>
      <c r="E1" s="60"/>
      <c r="F1" s="60"/>
      <c r="G1" s="60"/>
      <c r="H1" s="60"/>
      <c r="I1" s="60"/>
      <c r="J1" s="60"/>
      <c r="K1" s="60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3" spans="1:24" ht="30.75" customHeight="1">
      <c r="A3" s="71" t="s">
        <v>0</v>
      </c>
      <c r="B3" s="71" t="s">
        <v>1</v>
      </c>
      <c r="C3" s="73" t="s">
        <v>2</v>
      </c>
      <c r="D3" s="71" t="s">
        <v>3</v>
      </c>
      <c r="E3" s="71"/>
      <c r="F3" s="71"/>
      <c r="G3" s="71"/>
      <c r="H3" s="71" t="s">
        <v>4</v>
      </c>
      <c r="I3" s="71"/>
      <c r="J3" s="71"/>
      <c r="K3" s="71"/>
      <c r="L3" s="71" t="s">
        <v>5</v>
      </c>
      <c r="M3" s="71"/>
      <c r="N3" s="71"/>
      <c r="O3" s="71"/>
      <c r="P3" s="71" t="s">
        <v>6</v>
      </c>
      <c r="Q3" s="71"/>
      <c r="R3" s="71"/>
      <c r="S3" s="71"/>
      <c r="T3" s="72" t="s">
        <v>7</v>
      </c>
      <c r="U3" s="72" t="s">
        <v>44</v>
      </c>
      <c r="V3" s="72" t="s">
        <v>45</v>
      </c>
      <c r="W3" s="72" t="s">
        <v>46</v>
      </c>
      <c r="X3" s="72" t="s">
        <v>47</v>
      </c>
    </row>
    <row r="4" spans="1:24" ht="90" customHeight="1">
      <c r="A4" s="71"/>
      <c r="B4" s="71"/>
      <c r="C4" s="73"/>
      <c r="D4" s="3" t="s">
        <v>8</v>
      </c>
      <c r="E4" s="46" t="s">
        <v>65</v>
      </c>
      <c r="F4" s="3" t="s">
        <v>9</v>
      </c>
      <c r="G4" s="3" t="str">
        <f>"Налоговый потенциал по репрезента-тивной налоговой ставке  "&amp;FIXED(F16,6)&amp;", контингент"</f>
        <v>Налоговый потенциал по репрезента-тивной налоговой ставке  0,130000, контингент</v>
      </c>
      <c r="H4" s="3" t="s">
        <v>12</v>
      </c>
      <c r="I4" s="46" t="s">
        <v>66</v>
      </c>
      <c r="J4" s="3" t="s">
        <v>9</v>
      </c>
      <c r="K4" s="3" t="str">
        <f>"Налоговый потенциал по репрезента-тивной налоговой ставке  "&amp;FIXED(J16,6)&amp;", контингент"</f>
        <v>Налоговый потенциал по репрезента-тивной налоговой ставке  0,003000, контингент</v>
      </c>
      <c r="L4" s="3" t="s">
        <v>12</v>
      </c>
      <c r="M4" s="46" t="s">
        <v>66</v>
      </c>
      <c r="N4" s="3" t="s">
        <v>9</v>
      </c>
      <c r="O4" s="3" t="str">
        <f>"Налоговый потенциал по репрезента-тивной налоговой ставке  "&amp;FIXED(N16,6)&amp;", контингент"</f>
        <v>Налоговый потенциал по репрезента-тивной налоговой ставке  0,003000, контингент</v>
      </c>
      <c r="P4" s="3" t="s">
        <v>12</v>
      </c>
      <c r="Q4" s="46" t="s">
        <v>67</v>
      </c>
      <c r="R4" s="3" t="s">
        <v>9</v>
      </c>
      <c r="S4" s="3" t="str">
        <f>"Налоговый потенциал по репрезента-тивной налоговой ставке  "&amp;FIXED(R16,6)&amp;", контингент"</f>
        <v>Налоговый потенциал по репрезента-тивной налоговой ставке  0,030000, контингент</v>
      </c>
      <c r="T4" s="72"/>
      <c r="U4" s="72"/>
      <c r="V4" s="72"/>
      <c r="W4" s="72"/>
      <c r="X4" s="72"/>
    </row>
    <row r="5" spans="1:24" s="5" customFormat="1" ht="11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2.75">
      <c r="A6" s="6">
        <v>1</v>
      </c>
      <c r="B6" s="7" t="s">
        <v>48</v>
      </c>
      <c r="C6" s="49">
        <v>9407</v>
      </c>
      <c r="D6" s="59">
        <v>482416.3</v>
      </c>
      <c r="E6" s="57"/>
      <c r="F6" s="10" t="s">
        <v>10</v>
      </c>
      <c r="G6" s="11">
        <f aca="true" t="shared" si="0" ref="G6:G15">D6*$F$16*0.1</f>
        <v>6271.412002150078</v>
      </c>
      <c r="H6" s="59">
        <v>714666.7</v>
      </c>
      <c r="I6" s="59">
        <v>2144</v>
      </c>
      <c r="J6" s="10" t="s">
        <v>10</v>
      </c>
      <c r="K6" s="11">
        <f aca="true" t="shared" si="1" ref="K6:K15">H6*$J$16</f>
        <v>2144.00006440312</v>
      </c>
      <c r="L6" s="59">
        <v>2188333.3</v>
      </c>
      <c r="M6" s="59">
        <v>6565</v>
      </c>
      <c r="N6" s="10" t="s">
        <v>10</v>
      </c>
      <c r="O6" s="11">
        <f aca="true" t="shared" si="2" ref="O6:O15">L6*$N$16</f>
        <v>6564.9999</v>
      </c>
      <c r="P6" s="59">
        <v>7800</v>
      </c>
      <c r="Q6" s="59">
        <v>234</v>
      </c>
      <c r="R6" s="10" t="s">
        <v>10</v>
      </c>
      <c r="S6" s="11">
        <f aca="true" t="shared" si="3" ref="S6:S15">P6*$R$16</f>
        <v>234.00012712216602</v>
      </c>
      <c r="T6" s="11">
        <f aca="true" t="shared" si="4" ref="T6:T16">S6+O6+K6+G6</f>
        <v>15214.412093675364</v>
      </c>
      <c r="U6" s="45">
        <v>509.9</v>
      </c>
      <c r="V6" s="11">
        <f>T6+U6</f>
        <v>15724.312093675364</v>
      </c>
      <c r="W6" s="11">
        <f>IF(C6&lt;&gt;0,V6/C6,0)</f>
        <v>1.6715543843600897</v>
      </c>
      <c r="X6" s="36">
        <f aca="true" t="shared" si="5" ref="X6:X16">IF($W$16&lt;&gt;0,W6/$W$16,0)</f>
        <v>0.8693672689427743</v>
      </c>
    </row>
    <row r="7" spans="1:24" ht="12.75">
      <c r="A7" s="6">
        <v>2</v>
      </c>
      <c r="B7" s="7" t="s">
        <v>49</v>
      </c>
      <c r="C7" s="49">
        <v>5336</v>
      </c>
      <c r="D7" s="59">
        <v>273644.4</v>
      </c>
      <c r="E7" s="57"/>
      <c r="F7" s="10" t="s">
        <v>10</v>
      </c>
      <c r="G7" s="11">
        <f t="shared" si="0"/>
        <v>3557.3772579433094</v>
      </c>
      <c r="H7" s="59">
        <v>286000</v>
      </c>
      <c r="I7" s="59">
        <v>858</v>
      </c>
      <c r="J7" s="10" t="s">
        <v>10</v>
      </c>
      <c r="K7" s="11">
        <f t="shared" si="1"/>
        <v>857.9999857546076</v>
      </c>
      <c r="L7" s="59">
        <v>1125666.7</v>
      </c>
      <c r="M7" s="59">
        <v>3377</v>
      </c>
      <c r="N7" s="10" t="s">
        <v>10</v>
      </c>
      <c r="O7" s="11">
        <f t="shared" si="2"/>
        <v>3377.0000999999997</v>
      </c>
      <c r="P7" s="59">
        <v>6233.3</v>
      </c>
      <c r="Q7" s="59">
        <v>187</v>
      </c>
      <c r="R7" s="10" t="s">
        <v>10</v>
      </c>
      <c r="S7" s="11">
        <f t="shared" si="3"/>
        <v>186.99910158853814</v>
      </c>
      <c r="T7" s="11">
        <f t="shared" si="4"/>
        <v>7979.376445286454</v>
      </c>
      <c r="U7" s="45">
        <v>289.2</v>
      </c>
      <c r="V7" s="11">
        <f aca="true" t="shared" si="6" ref="V7:V15">T7+U7</f>
        <v>8268.576445286455</v>
      </c>
      <c r="W7" s="11">
        <f aca="true" t="shared" si="7" ref="W7:W16">IF(C7&lt;&gt;0,V7/C7,0)</f>
        <v>1.5495832918452876</v>
      </c>
      <c r="X7" s="36">
        <f t="shared" si="5"/>
        <v>0.805930699614428</v>
      </c>
    </row>
    <row r="8" spans="1:24" ht="12.75">
      <c r="A8" s="6">
        <v>3</v>
      </c>
      <c r="B8" s="7" t="s">
        <v>50</v>
      </c>
      <c r="C8" s="49">
        <v>2523</v>
      </c>
      <c r="D8" s="59">
        <v>129386.2</v>
      </c>
      <c r="E8" s="57"/>
      <c r="F8" s="10" t="s">
        <v>10</v>
      </c>
      <c r="G8" s="11">
        <f t="shared" si="0"/>
        <v>1682.0206273971057</v>
      </c>
      <c r="H8" s="59">
        <v>248000</v>
      </c>
      <c r="I8" s="59">
        <v>744</v>
      </c>
      <c r="J8" s="10" t="s">
        <v>10</v>
      </c>
      <c r="K8" s="11">
        <f t="shared" si="1"/>
        <v>743.999987647352</v>
      </c>
      <c r="L8" s="59">
        <v>901333.3</v>
      </c>
      <c r="M8" s="59">
        <v>2704</v>
      </c>
      <c r="N8" s="10" t="s">
        <v>10</v>
      </c>
      <c r="O8" s="11">
        <f t="shared" si="2"/>
        <v>2703.9999000000003</v>
      </c>
      <c r="P8" s="59">
        <v>6000</v>
      </c>
      <c r="Q8" s="59">
        <v>180</v>
      </c>
      <c r="R8" s="10" t="s">
        <v>10</v>
      </c>
      <c r="S8" s="11">
        <f t="shared" si="3"/>
        <v>180.00009778628154</v>
      </c>
      <c r="T8" s="11">
        <f t="shared" si="4"/>
        <v>5310.02061283074</v>
      </c>
      <c r="U8" s="45">
        <v>136.7</v>
      </c>
      <c r="V8" s="11">
        <f t="shared" si="6"/>
        <v>5446.72061283074</v>
      </c>
      <c r="W8" s="11">
        <f t="shared" si="7"/>
        <v>2.1588270363974393</v>
      </c>
      <c r="X8" s="36">
        <f t="shared" si="5"/>
        <v>1.122795394701533</v>
      </c>
    </row>
    <row r="9" spans="1:24" ht="12.75">
      <c r="A9" s="6">
        <v>4</v>
      </c>
      <c r="B9" s="7" t="s">
        <v>51</v>
      </c>
      <c r="C9" s="49">
        <v>775</v>
      </c>
      <c r="D9" s="59">
        <v>39744.1</v>
      </c>
      <c r="E9" s="57"/>
      <c r="F9" s="10" t="s">
        <v>10</v>
      </c>
      <c r="G9" s="11">
        <f t="shared" si="0"/>
        <v>516.6733084156834</v>
      </c>
      <c r="H9" s="59">
        <v>147666.7</v>
      </c>
      <c r="I9" s="59">
        <v>443</v>
      </c>
      <c r="J9" s="10" t="s">
        <v>10</v>
      </c>
      <c r="K9" s="11">
        <f t="shared" si="1"/>
        <v>443.0000926448599</v>
      </c>
      <c r="L9" s="59">
        <v>348000</v>
      </c>
      <c r="M9" s="59">
        <v>1044</v>
      </c>
      <c r="N9" s="10" t="s">
        <v>10</v>
      </c>
      <c r="O9" s="11">
        <f t="shared" si="2"/>
        <v>1044</v>
      </c>
      <c r="P9" s="59">
        <v>36966.7</v>
      </c>
      <c r="Q9" s="59">
        <v>1109</v>
      </c>
      <c r="R9" s="10" t="s">
        <v>10</v>
      </c>
      <c r="S9" s="11">
        <f t="shared" si="3"/>
        <v>1109.001602472689</v>
      </c>
      <c r="T9" s="11">
        <f t="shared" si="4"/>
        <v>3112.6750035332325</v>
      </c>
      <c r="U9" s="45">
        <v>42</v>
      </c>
      <c r="V9" s="11">
        <f t="shared" si="6"/>
        <v>3154.6750035332325</v>
      </c>
      <c r="W9" s="11">
        <f t="shared" si="7"/>
        <v>4.070548391655784</v>
      </c>
      <c r="X9" s="36">
        <f t="shared" si="5"/>
        <v>2.117072331875057</v>
      </c>
    </row>
    <row r="10" spans="1:24" ht="12.75">
      <c r="A10" s="6">
        <v>5</v>
      </c>
      <c r="B10" s="7" t="s">
        <v>52</v>
      </c>
      <c r="C10" s="49">
        <v>2072</v>
      </c>
      <c r="D10" s="59">
        <v>106257.7</v>
      </c>
      <c r="E10" s="57"/>
      <c r="F10" s="10" t="s">
        <v>10</v>
      </c>
      <c r="G10" s="11">
        <f t="shared" si="0"/>
        <v>1381.3501224997215</v>
      </c>
      <c r="H10" s="59">
        <v>124666.7</v>
      </c>
      <c r="I10" s="59">
        <v>374</v>
      </c>
      <c r="J10" s="10" t="s">
        <v>10</v>
      </c>
      <c r="K10" s="11">
        <f t="shared" si="1"/>
        <v>374.0000937904683</v>
      </c>
      <c r="L10" s="59">
        <v>876333.3</v>
      </c>
      <c r="M10" s="59">
        <v>2629</v>
      </c>
      <c r="N10" s="10" t="s">
        <v>10</v>
      </c>
      <c r="O10" s="11">
        <f t="shared" si="2"/>
        <v>2628.9999000000003</v>
      </c>
      <c r="P10" s="59">
        <v>4533.3</v>
      </c>
      <c r="Q10" s="59">
        <v>136</v>
      </c>
      <c r="R10" s="10" t="s">
        <v>10</v>
      </c>
      <c r="S10" s="11">
        <f t="shared" si="3"/>
        <v>135.99907388242502</v>
      </c>
      <c r="T10" s="11">
        <f t="shared" si="4"/>
        <v>4520.349190172615</v>
      </c>
      <c r="U10" s="45">
        <v>112.3</v>
      </c>
      <c r="V10" s="11">
        <f t="shared" si="6"/>
        <v>4632.649190172615</v>
      </c>
      <c r="W10" s="11">
        <f t="shared" si="7"/>
        <v>2.2358345512416093</v>
      </c>
      <c r="X10" s="36">
        <f t="shared" si="5"/>
        <v>1.1628466269525108</v>
      </c>
    </row>
    <row r="11" spans="1:24" ht="12.75">
      <c r="A11" s="6">
        <v>6</v>
      </c>
      <c r="B11" s="7" t="s">
        <v>53</v>
      </c>
      <c r="C11" s="49">
        <v>1865</v>
      </c>
      <c r="D11" s="59">
        <v>95642.2</v>
      </c>
      <c r="E11" s="57"/>
      <c r="F11" s="10" t="s">
        <v>10</v>
      </c>
      <c r="G11" s="11">
        <f t="shared" si="0"/>
        <v>1243.3486202519239</v>
      </c>
      <c r="H11" s="59">
        <v>137333.3</v>
      </c>
      <c r="I11" s="59">
        <v>412</v>
      </c>
      <c r="J11" s="10" t="s">
        <v>10</v>
      </c>
      <c r="K11" s="11">
        <f t="shared" si="1"/>
        <v>411.9998931595568</v>
      </c>
      <c r="L11" s="59">
        <v>688666.7</v>
      </c>
      <c r="M11" s="59">
        <v>2066</v>
      </c>
      <c r="N11" s="10" t="s">
        <v>10</v>
      </c>
      <c r="O11" s="11">
        <f t="shared" si="2"/>
        <v>2066.0000999999997</v>
      </c>
      <c r="P11" s="59">
        <v>39566.7</v>
      </c>
      <c r="Q11" s="59">
        <v>1187</v>
      </c>
      <c r="R11" s="10" t="s">
        <v>10</v>
      </c>
      <c r="S11" s="11">
        <f t="shared" si="3"/>
        <v>1187.0016448467443</v>
      </c>
      <c r="T11" s="11">
        <f t="shared" si="4"/>
        <v>4908.350258258225</v>
      </c>
      <c r="U11" s="45">
        <v>101.1</v>
      </c>
      <c r="V11" s="11">
        <f t="shared" si="6"/>
        <v>5009.450258258225</v>
      </c>
      <c r="W11" s="11">
        <f t="shared" si="7"/>
        <v>2.68603231005803</v>
      </c>
      <c r="X11" s="36">
        <f t="shared" si="5"/>
        <v>1.3969922818760994</v>
      </c>
    </row>
    <row r="12" spans="1:24" ht="12.75">
      <c r="A12" s="6">
        <v>7</v>
      </c>
      <c r="B12" s="7" t="s">
        <v>54</v>
      </c>
      <c r="C12" s="49">
        <v>926</v>
      </c>
      <c r="D12" s="59">
        <v>47487.8</v>
      </c>
      <c r="E12" s="57"/>
      <c r="F12" s="10" t="s">
        <v>10</v>
      </c>
      <c r="G12" s="11">
        <f t="shared" si="0"/>
        <v>617.3414100553869</v>
      </c>
      <c r="H12" s="59">
        <v>104333.3</v>
      </c>
      <c r="I12" s="59">
        <v>313</v>
      </c>
      <c r="J12" s="10" t="s">
        <v>10</v>
      </c>
      <c r="K12" s="11">
        <f t="shared" si="1"/>
        <v>312.9998948032559</v>
      </c>
      <c r="L12" s="59">
        <v>422000</v>
      </c>
      <c r="M12" s="59">
        <v>1266</v>
      </c>
      <c r="N12" s="10" t="s">
        <v>10</v>
      </c>
      <c r="O12" s="11">
        <f t="shared" si="2"/>
        <v>1266</v>
      </c>
      <c r="P12" s="59">
        <v>166.7</v>
      </c>
      <c r="Q12" s="59">
        <v>5</v>
      </c>
      <c r="R12" s="10" t="s">
        <v>10</v>
      </c>
      <c r="S12" s="11">
        <f t="shared" si="3"/>
        <v>5.0010027168288556</v>
      </c>
      <c r="T12" s="11">
        <f t="shared" si="4"/>
        <v>2201.3423075754718</v>
      </c>
      <c r="U12" s="45">
        <v>50.2</v>
      </c>
      <c r="V12" s="11">
        <f t="shared" si="6"/>
        <v>2251.5423075754716</v>
      </c>
      <c r="W12" s="11">
        <f t="shared" si="7"/>
        <v>2.4314711744875503</v>
      </c>
      <c r="X12" s="36">
        <f t="shared" si="5"/>
        <v>1.2645962789218788</v>
      </c>
    </row>
    <row r="13" spans="1:24" ht="12.75">
      <c r="A13" s="6">
        <v>8</v>
      </c>
      <c r="B13" s="7" t="s">
        <v>55</v>
      </c>
      <c r="C13" s="49">
        <v>2023</v>
      </c>
      <c r="D13" s="59">
        <v>103744.9</v>
      </c>
      <c r="E13" s="57"/>
      <c r="F13" s="10" t="s">
        <v>10</v>
      </c>
      <c r="G13" s="11">
        <f t="shared" si="0"/>
        <v>1348.683721967644</v>
      </c>
      <c r="H13" s="59">
        <v>117666.7</v>
      </c>
      <c r="I13" s="59">
        <v>353</v>
      </c>
      <c r="J13" s="10" t="s">
        <v>10</v>
      </c>
      <c r="K13" s="11">
        <f t="shared" si="1"/>
        <v>353.00009413913176</v>
      </c>
      <c r="L13" s="59">
        <v>733000</v>
      </c>
      <c r="M13" s="59">
        <v>2199</v>
      </c>
      <c r="N13" s="10" t="s">
        <v>10</v>
      </c>
      <c r="O13" s="11">
        <f t="shared" si="2"/>
        <v>2199</v>
      </c>
      <c r="P13" s="59">
        <v>17633.3</v>
      </c>
      <c r="Q13" s="59">
        <v>529</v>
      </c>
      <c r="R13" s="10" t="s">
        <v>10</v>
      </c>
      <c r="S13" s="11">
        <f t="shared" si="3"/>
        <v>528.9992873824731</v>
      </c>
      <c r="T13" s="11">
        <f t="shared" si="4"/>
        <v>4429.683103489249</v>
      </c>
      <c r="U13" s="45">
        <v>109.6</v>
      </c>
      <c r="V13" s="11">
        <f t="shared" si="6"/>
        <v>4539.28310348925</v>
      </c>
      <c r="W13" s="11">
        <f t="shared" si="7"/>
        <v>2.2438374213985415</v>
      </c>
      <c r="X13" s="36">
        <f t="shared" si="5"/>
        <v>1.1670088806231858</v>
      </c>
    </row>
    <row r="14" spans="1:24" ht="12.75">
      <c r="A14" s="6">
        <v>9</v>
      </c>
      <c r="B14" s="7" t="s">
        <v>56</v>
      </c>
      <c r="C14" s="49">
        <v>723</v>
      </c>
      <c r="D14" s="59">
        <v>37077.4</v>
      </c>
      <c r="E14" s="57"/>
      <c r="F14" s="10" t="s">
        <v>10</v>
      </c>
      <c r="G14" s="11">
        <f t="shared" si="0"/>
        <v>482.0062078510185</v>
      </c>
      <c r="H14" s="59">
        <v>34333.3</v>
      </c>
      <c r="I14" s="59">
        <v>103</v>
      </c>
      <c r="J14" s="10" t="s">
        <v>10</v>
      </c>
      <c r="K14" s="11">
        <f t="shared" si="1"/>
        <v>102.99989828989045</v>
      </c>
      <c r="L14" s="59">
        <v>163666.7</v>
      </c>
      <c r="M14" s="59">
        <v>491</v>
      </c>
      <c r="N14" s="10" t="s">
        <v>10</v>
      </c>
      <c r="O14" s="11">
        <f t="shared" si="2"/>
        <v>491.00010000000003</v>
      </c>
      <c r="P14" s="59">
        <v>183.3</v>
      </c>
      <c r="Q14" s="59">
        <v>5.5</v>
      </c>
      <c r="R14" s="10" t="s">
        <v>10</v>
      </c>
      <c r="S14" s="11">
        <f t="shared" si="3"/>
        <v>5.499002987370901</v>
      </c>
      <c r="T14" s="11">
        <f t="shared" si="4"/>
        <v>1081.5052091282798</v>
      </c>
      <c r="U14" s="45">
        <v>39.2</v>
      </c>
      <c r="V14" s="11">
        <f t="shared" si="6"/>
        <v>1120.7052091282799</v>
      </c>
      <c r="W14" s="11">
        <f t="shared" si="7"/>
        <v>1.5500763611732777</v>
      </c>
      <c r="X14" s="36">
        <f t="shared" si="5"/>
        <v>0.8061871425630301</v>
      </c>
    </row>
    <row r="15" spans="1:24" ht="12.75">
      <c r="A15" s="6">
        <v>10</v>
      </c>
      <c r="B15" s="7" t="s">
        <v>57</v>
      </c>
      <c r="C15" s="49">
        <v>1977</v>
      </c>
      <c r="D15" s="59">
        <v>101385.9</v>
      </c>
      <c r="E15" s="57"/>
      <c r="F15" s="10" t="s">
        <v>10</v>
      </c>
      <c r="G15" s="11">
        <f t="shared" si="0"/>
        <v>1318.0167214681335</v>
      </c>
      <c r="H15" s="59">
        <v>93000</v>
      </c>
      <c r="I15" s="59">
        <v>279</v>
      </c>
      <c r="J15" s="10" t="s">
        <v>10</v>
      </c>
      <c r="K15" s="11">
        <f t="shared" si="1"/>
        <v>278.99999536775704</v>
      </c>
      <c r="L15" s="59">
        <v>386000</v>
      </c>
      <c r="M15" s="59">
        <v>1158</v>
      </c>
      <c r="N15" s="10" t="s">
        <v>10</v>
      </c>
      <c r="O15" s="11">
        <f t="shared" si="2"/>
        <v>1158</v>
      </c>
      <c r="P15" s="59">
        <v>3633.3</v>
      </c>
      <c r="Q15" s="59">
        <v>109</v>
      </c>
      <c r="R15" s="10" t="s">
        <v>10</v>
      </c>
      <c r="S15" s="11">
        <f t="shared" si="3"/>
        <v>108.9990592144828</v>
      </c>
      <c r="T15" s="11">
        <f t="shared" si="4"/>
        <v>2864.0157760503735</v>
      </c>
      <c r="U15" s="45">
        <v>107.2</v>
      </c>
      <c r="V15" s="11">
        <f t="shared" si="6"/>
        <v>2971.2157760503733</v>
      </c>
      <c r="W15" s="11">
        <f t="shared" si="7"/>
        <v>1.5028911360902242</v>
      </c>
      <c r="X15" s="36">
        <f t="shared" si="5"/>
        <v>0.7816463375202984</v>
      </c>
    </row>
    <row r="16" spans="1:24" ht="12.75">
      <c r="A16" s="12"/>
      <c r="B16" s="13" t="s">
        <v>11</v>
      </c>
      <c r="C16" s="13">
        <f>SUM(C6:C15)</f>
        <v>27627</v>
      </c>
      <c r="D16" s="14">
        <f>SUM(D6:D15)</f>
        <v>1416786.8999999997</v>
      </c>
      <c r="E16" s="14">
        <v>184182.3</v>
      </c>
      <c r="F16" s="13">
        <f>IF(D16&lt;&gt;0,E16/D16,0)</f>
        <v>0.13000000211746737</v>
      </c>
      <c r="G16" s="14">
        <f>SUM(G6:G15)</f>
        <v>18418.230000000007</v>
      </c>
      <c r="H16" s="14">
        <f>SUM(H6:H15)</f>
        <v>2007666.7</v>
      </c>
      <c r="I16" s="14">
        <f>SUM(I6:I15)</f>
        <v>6023</v>
      </c>
      <c r="J16" s="13">
        <f>IF(H16&lt;&gt;0,I16/H16,0)</f>
        <v>0.0029999999501909356</v>
      </c>
      <c r="K16" s="14">
        <f>SUM(K6:K15)</f>
        <v>6023</v>
      </c>
      <c r="L16" s="14">
        <f>SUM(L6:L15)</f>
        <v>7833000</v>
      </c>
      <c r="M16" s="14">
        <f>SUM(M6:M15)</f>
        <v>23499</v>
      </c>
      <c r="N16" s="13">
        <f>IF(L16&lt;&gt;0,M16/L16,0)</f>
        <v>0.003</v>
      </c>
      <c r="O16" s="14">
        <f>SUM(O6:O15)</f>
        <v>23499.000000000004</v>
      </c>
      <c r="P16" s="14">
        <f>P6+P7+P8+P9+P10+P11+P12+P13++P14+P15</f>
        <v>122716.6</v>
      </c>
      <c r="Q16" s="14">
        <f>SUM(Q6:Q15)</f>
        <v>3681.5</v>
      </c>
      <c r="R16" s="13">
        <f>IF(P16&lt;&gt;0,Q16/P16,0)</f>
        <v>0.03000001629771359</v>
      </c>
      <c r="S16" s="14">
        <f>SUM(S6:S15)</f>
        <v>3681.4999999999995</v>
      </c>
      <c r="T16" s="14">
        <f t="shared" si="4"/>
        <v>51621.73000000001</v>
      </c>
      <c r="U16" s="14">
        <f>SUM(U6:U15)</f>
        <v>1497.3999999999999</v>
      </c>
      <c r="V16" s="14">
        <f>U16+T16</f>
        <v>53119.13000000001</v>
      </c>
      <c r="W16" s="42">
        <f t="shared" si="7"/>
        <v>1.922725232562349</v>
      </c>
      <c r="X16" s="14">
        <f t="shared" si="5"/>
        <v>1</v>
      </c>
    </row>
  </sheetData>
  <sheetProtection/>
  <mergeCells count="13">
    <mergeCell ref="X3:X4"/>
    <mergeCell ref="L3:O3"/>
    <mergeCell ref="P3:S3"/>
    <mergeCell ref="T3:T4"/>
    <mergeCell ref="U3:U4"/>
    <mergeCell ref="V3:V4"/>
    <mergeCell ref="W3:W4"/>
    <mergeCell ref="C1:K1"/>
    <mergeCell ref="A3:A4"/>
    <mergeCell ref="B3:B4"/>
    <mergeCell ref="C3:C4"/>
    <mergeCell ref="D3:G3"/>
    <mergeCell ref="H3:K3"/>
  </mergeCells>
  <printOptions horizontalCentered="1" verticalCentered="1"/>
  <pageMargins left="0.31496062992125984" right="0.1968503937007874" top="0.1968503937007874" bottom="0.1968503937007874" header="0.15748031496062992" footer="0.15748031496062992"/>
  <pageSetup horizontalDpi="600" verticalDpi="600" orientation="landscape" paperSize="9" scale="70" r:id="rId1"/>
  <colBreaks count="1" manualBreakCount="1">
    <brk id="15" max="2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21"/>
  <sheetViews>
    <sheetView zoomScaleSheetLayoutView="11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26" sqref="L26:M27"/>
    </sheetView>
  </sheetViews>
  <sheetFormatPr defaultColWidth="8.00390625" defaultRowHeight="12.75"/>
  <cols>
    <col min="1" max="1" width="3.25390625" style="1" customWidth="1"/>
    <col min="2" max="2" width="22.125" style="1" customWidth="1"/>
    <col min="3" max="7" width="10.875" style="1" customWidth="1"/>
    <col min="8" max="8" width="9.875" style="1" customWidth="1"/>
    <col min="9" max="9" width="12.125" style="1" customWidth="1"/>
    <col min="10" max="10" width="10.625" style="1" customWidth="1"/>
    <col min="11" max="11" width="10.125" style="1" customWidth="1"/>
    <col min="12" max="12" width="9.25390625" style="1" customWidth="1"/>
    <col min="13" max="13" width="8.00390625" style="1" customWidth="1"/>
    <col min="14" max="14" width="9.00390625" style="1" customWidth="1"/>
    <col min="15" max="16384" width="8.00390625" style="1" customWidth="1"/>
  </cols>
  <sheetData>
    <row r="1" spans="3:8" ht="27" customHeight="1">
      <c r="C1" s="60" t="s">
        <v>61</v>
      </c>
      <c r="D1" s="60"/>
      <c r="E1" s="60"/>
      <c r="F1" s="60"/>
      <c r="G1" s="60"/>
      <c r="H1" s="60"/>
    </row>
    <row r="2" ht="12"/>
    <row r="3" spans="1:12" ht="30.75" customHeight="1">
      <c r="A3" s="71" t="s">
        <v>0</v>
      </c>
      <c r="B3" s="71" t="s">
        <v>1</v>
      </c>
      <c r="C3" s="73" t="s">
        <v>2</v>
      </c>
      <c r="D3" s="72" t="s">
        <v>47</v>
      </c>
      <c r="E3" s="67" t="s">
        <v>18</v>
      </c>
      <c r="F3" s="67" t="s">
        <v>14</v>
      </c>
      <c r="G3" s="67" t="s">
        <v>15</v>
      </c>
      <c r="H3" s="67" t="s">
        <v>17</v>
      </c>
      <c r="I3" s="61" t="s">
        <v>42</v>
      </c>
      <c r="J3" s="61" t="s">
        <v>40</v>
      </c>
      <c r="K3" s="67" t="s">
        <v>43</v>
      </c>
      <c r="L3" s="61" t="s">
        <v>41</v>
      </c>
    </row>
    <row r="4" spans="1:14" ht="90" customHeight="1">
      <c r="A4" s="71"/>
      <c r="B4" s="71"/>
      <c r="C4" s="73"/>
      <c r="D4" s="72"/>
      <c r="E4" s="68"/>
      <c r="F4" s="68"/>
      <c r="G4" s="68"/>
      <c r="H4" s="68"/>
      <c r="I4" s="61"/>
      <c r="J4" s="61"/>
      <c r="K4" s="68"/>
      <c r="L4" s="61"/>
      <c r="N4" s="48"/>
    </row>
    <row r="5" spans="1:12" s="5" customFormat="1" ht="12">
      <c r="A5" s="4"/>
      <c r="B5" s="4"/>
      <c r="C5" s="4"/>
      <c r="D5" s="4"/>
      <c r="E5" s="4"/>
      <c r="F5" s="4"/>
      <c r="G5" s="16">
        <v>0.8</v>
      </c>
      <c r="H5" s="16">
        <v>1349.9</v>
      </c>
      <c r="I5" s="4"/>
      <c r="J5" s="4"/>
      <c r="K5" s="4"/>
      <c r="L5" s="4"/>
    </row>
    <row r="6" spans="1:17" ht="12.75">
      <c r="A6" s="6">
        <v>1</v>
      </c>
      <c r="B6" s="7" t="s">
        <v>48</v>
      </c>
      <c r="C6" s="49">
        <v>9407</v>
      </c>
      <c r="D6" s="28">
        <f>'ИНП 2021'!X6</f>
        <v>0.86654391049873</v>
      </c>
      <c r="E6" s="28">
        <f>'ИБР 2021'!Y6</f>
        <v>0.7852288272789907</v>
      </c>
      <c r="F6" s="36">
        <f>IF(E6&lt;&gt;0,D6/E6,0)</f>
        <v>1.103555906755889</v>
      </c>
      <c r="G6" s="17">
        <f aca="true" t="shared" si="0" ref="G6:G15">IF(F6&lt;$G$5,($G$5-F6)*E6*$G$18*C6/$C$16,0)</f>
        <v>0</v>
      </c>
      <c r="H6" s="17">
        <f aca="true" t="shared" si="1" ref="H6:H16">IF($G$16&lt;&gt;0,ROUND(G6/$G$16*$H$5,1),0)</f>
        <v>0</v>
      </c>
      <c r="I6" s="47">
        <f>18788.3+M6</f>
        <v>19298.2</v>
      </c>
      <c r="J6" s="40">
        <f>I6+H6</f>
        <v>19298.2</v>
      </c>
      <c r="K6" s="41">
        <f>34612-9000</f>
        <v>25612</v>
      </c>
      <c r="L6" s="40">
        <f>J6-K6</f>
        <v>-6313.799999999999</v>
      </c>
      <c r="M6" s="45">
        <v>509.9</v>
      </c>
      <c r="N6" s="50"/>
      <c r="P6" s="55"/>
      <c r="Q6" s="44"/>
    </row>
    <row r="7" spans="1:17" ht="14.25">
      <c r="A7" s="6">
        <v>2</v>
      </c>
      <c r="B7" s="7" t="s">
        <v>49</v>
      </c>
      <c r="C7" s="49">
        <v>5336</v>
      </c>
      <c r="D7" s="28">
        <f>'ИНП 2021'!X7</f>
        <v>0.8173822799097684</v>
      </c>
      <c r="E7" s="28">
        <f>'ИБР 2021'!Y7</f>
        <v>0.9285564083956013</v>
      </c>
      <c r="F7" s="36">
        <f aca="true" t="shared" si="2" ref="F7:F16">IF(E7&lt;&gt;0,D7/E7,0)</f>
        <v>0.8802720788089501</v>
      </c>
      <c r="G7" s="17">
        <f t="shared" si="0"/>
        <v>0</v>
      </c>
      <c r="H7" s="17">
        <f t="shared" si="1"/>
        <v>0</v>
      </c>
      <c r="I7" s="47">
        <f>9618.5+M7</f>
        <v>9907.7</v>
      </c>
      <c r="J7" s="40">
        <f aca="true" t="shared" si="3" ref="J7:J16">I7+H7</f>
        <v>9907.7</v>
      </c>
      <c r="K7" s="41">
        <v>7922.3</v>
      </c>
      <c r="L7" s="40">
        <f aca="true" t="shared" si="4" ref="L7:L16">J7-K7</f>
        <v>1985.4000000000005</v>
      </c>
      <c r="M7" s="45">
        <v>289.2</v>
      </c>
      <c r="N7" s="51"/>
      <c r="P7" s="55"/>
      <c r="Q7" s="44"/>
    </row>
    <row r="8" spans="1:17" ht="14.25">
      <c r="A8" s="6">
        <v>3</v>
      </c>
      <c r="B8" s="7" t="s">
        <v>50</v>
      </c>
      <c r="C8" s="49">
        <v>2523</v>
      </c>
      <c r="D8" s="28">
        <f>'ИНП 2021'!X8</f>
        <v>1.1330795295296472</v>
      </c>
      <c r="E8" s="28">
        <f>'ИБР 2021'!Y8</f>
        <v>0.9840376403878504</v>
      </c>
      <c r="F8" s="36">
        <f t="shared" si="2"/>
        <v>1.151459540798717</v>
      </c>
      <c r="G8" s="17">
        <f t="shared" si="0"/>
        <v>0</v>
      </c>
      <c r="H8" s="17">
        <f t="shared" si="1"/>
        <v>0</v>
      </c>
      <c r="I8" s="47">
        <f>5310+M8</f>
        <v>5446.7</v>
      </c>
      <c r="J8" s="40">
        <f t="shared" si="3"/>
        <v>5446.7</v>
      </c>
      <c r="K8" s="41">
        <v>4026.5</v>
      </c>
      <c r="L8" s="40">
        <f t="shared" si="4"/>
        <v>1420.1999999999998</v>
      </c>
      <c r="M8" s="45">
        <v>136.7</v>
      </c>
      <c r="N8" s="51"/>
      <c r="P8" s="55"/>
      <c r="Q8" s="44"/>
    </row>
    <row r="9" spans="1:17" ht="14.25">
      <c r="A9" s="6">
        <v>4</v>
      </c>
      <c r="B9" s="7" t="s">
        <v>51</v>
      </c>
      <c r="C9" s="49">
        <v>775</v>
      </c>
      <c r="D9" s="28">
        <f>'ИНП 2021'!X9</f>
        <v>2.1156654940559356</v>
      </c>
      <c r="E9" s="28">
        <f>'ИБР 2021'!Y9</f>
        <v>1.9213578097835478</v>
      </c>
      <c r="F9" s="36">
        <f t="shared" si="2"/>
        <v>1.101130400221642</v>
      </c>
      <c r="G9" s="17">
        <f t="shared" si="0"/>
        <v>0</v>
      </c>
      <c r="H9" s="17">
        <f t="shared" si="1"/>
        <v>0</v>
      </c>
      <c r="I9" s="47">
        <f>3160.7+M9</f>
        <v>3202.7</v>
      </c>
      <c r="J9" s="40">
        <f t="shared" si="3"/>
        <v>3202.7</v>
      </c>
      <c r="K9" s="41">
        <v>2896.3</v>
      </c>
      <c r="L9" s="40">
        <f t="shared" si="4"/>
        <v>306.39999999999964</v>
      </c>
      <c r="M9" s="45">
        <v>42</v>
      </c>
      <c r="N9" s="51"/>
      <c r="P9" s="55"/>
      <c r="Q9" s="44"/>
    </row>
    <row r="10" spans="1:17" ht="14.25">
      <c r="A10" s="6">
        <v>5</v>
      </c>
      <c r="B10" s="7" t="s">
        <v>52</v>
      </c>
      <c r="C10" s="49">
        <v>2072</v>
      </c>
      <c r="D10" s="28">
        <f>'ИНП 2021'!X10</f>
        <v>1.1962612409496012</v>
      </c>
      <c r="E10" s="28">
        <f>'ИБР 2021'!Y10</f>
        <v>1.1025993089999497</v>
      </c>
      <c r="F10" s="36">
        <f t="shared" si="2"/>
        <v>1.0849464816322099</v>
      </c>
      <c r="G10" s="17">
        <f t="shared" si="0"/>
        <v>0</v>
      </c>
      <c r="H10" s="17">
        <f t="shared" si="1"/>
        <v>0</v>
      </c>
      <c r="I10" s="47">
        <f>4549.4+M10</f>
        <v>4661.7</v>
      </c>
      <c r="J10" s="40">
        <f t="shared" si="3"/>
        <v>4661.7</v>
      </c>
      <c r="K10" s="41">
        <v>4720</v>
      </c>
      <c r="L10" s="40">
        <f t="shared" si="4"/>
        <v>-58.30000000000018</v>
      </c>
      <c r="M10" s="45">
        <v>112.3</v>
      </c>
      <c r="N10" s="51"/>
      <c r="P10" s="55"/>
      <c r="Q10" s="44"/>
    </row>
    <row r="11" spans="1:17" ht="14.25">
      <c r="A11" s="6">
        <v>6</v>
      </c>
      <c r="B11" s="7" t="s">
        <v>53</v>
      </c>
      <c r="C11" s="49">
        <v>1865</v>
      </c>
      <c r="D11" s="28">
        <f>'ИНП 2021'!X11</f>
        <v>1.4109461204278362</v>
      </c>
      <c r="E11" s="28">
        <f>'ИБР 2021'!Y11</f>
        <v>1.0852860453815403</v>
      </c>
      <c r="F11" s="36">
        <f t="shared" si="2"/>
        <v>1.3000684256764838</v>
      </c>
      <c r="G11" s="17">
        <f t="shared" si="0"/>
        <v>0</v>
      </c>
      <c r="H11" s="17">
        <f t="shared" si="1"/>
        <v>0</v>
      </c>
      <c r="I11" s="47">
        <f>4908.3+M11</f>
        <v>5009.400000000001</v>
      </c>
      <c r="J11" s="40">
        <f t="shared" si="3"/>
        <v>5009.400000000001</v>
      </c>
      <c r="K11" s="41">
        <v>3973.1</v>
      </c>
      <c r="L11" s="40">
        <f t="shared" si="4"/>
        <v>1036.3000000000006</v>
      </c>
      <c r="M11" s="45">
        <v>101.1</v>
      </c>
      <c r="N11" s="51"/>
      <c r="P11" s="55"/>
      <c r="Q11" s="44"/>
    </row>
    <row r="12" spans="1:17" ht="14.25">
      <c r="A12" s="6">
        <v>7</v>
      </c>
      <c r="B12" s="7" t="s">
        <v>54</v>
      </c>
      <c r="C12" s="49">
        <v>926</v>
      </c>
      <c r="D12" s="28">
        <v>1.265</v>
      </c>
      <c r="E12" s="28">
        <f>'ИБР 2021'!Y12</f>
        <v>1.4695055338136072</v>
      </c>
      <c r="F12" s="36">
        <f t="shared" si="2"/>
        <v>0.8608337776837887</v>
      </c>
      <c r="G12" s="17">
        <f t="shared" si="0"/>
        <v>0</v>
      </c>
      <c r="H12" s="17">
        <f t="shared" si="1"/>
        <v>0</v>
      </c>
      <c r="I12" s="47">
        <f>2201.3+M12</f>
        <v>2251.5</v>
      </c>
      <c r="J12" s="40">
        <f t="shared" si="3"/>
        <v>2251.5</v>
      </c>
      <c r="K12" s="41">
        <v>2196.3</v>
      </c>
      <c r="L12" s="40">
        <f t="shared" si="4"/>
        <v>55.19999999999982</v>
      </c>
      <c r="M12" s="45">
        <v>50.2</v>
      </c>
      <c r="N12" s="51"/>
      <c r="P12" s="55"/>
      <c r="Q12" s="44"/>
    </row>
    <row r="13" spans="1:17" ht="14.25">
      <c r="A13" s="6">
        <v>8</v>
      </c>
      <c r="B13" s="7" t="s">
        <v>55</v>
      </c>
      <c r="C13" s="49">
        <v>2023</v>
      </c>
      <c r="D13" s="28">
        <f>'ИНП 2021'!X13</f>
        <v>1.214277426717524</v>
      </c>
      <c r="E13" s="28">
        <f>'ИБР 2021'!Y13</f>
        <v>1.0360673568896481</v>
      </c>
      <c r="F13" s="36">
        <f t="shared" si="2"/>
        <v>1.1720062587078082</v>
      </c>
      <c r="G13" s="17">
        <f t="shared" si="0"/>
        <v>0</v>
      </c>
      <c r="H13" s="17">
        <f t="shared" si="1"/>
        <v>0</v>
      </c>
      <c r="I13" s="47">
        <f>4429.7+M13</f>
        <v>4539.3</v>
      </c>
      <c r="J13" s="40">
        <f t="shared" si="3"/>
        <v>4539.3</v>
      </c>
      <c r="K13" s="41">
        <v>4428.5</v>
      </c>
      <c r="L13" s="40">
        <f t="shared" si="4"/>
        <v>110.80000000000018</v>
      </c>
      <c r="M13" s="45">
        <v>109.6</v>
      </c>
      <c r="N13" s="51"/>
      <c r="P13" s="55"/>
      <c r="Q13" s="44"/>
    </row>
    <row r="14" spans="1:17" ht="14.25">
      <c r="A14" s="6">
        <v>9</v>
      </c>
      <c r="B14" s="7" t="s">
        <v>56</v>
      </c>
      <c r="C14" s="49">
        <v>723</v>
      </c>
      <c r="D14" s="28">
        <v>0.825</v>
      </c>
      <c r="E14" s="28">
        <f>'ИБР 2021'!Y14</f>
        <v>1.7891143773129259</v>
      </c>
      <c r="F14" s="36">
        <f t="shared" si="2"/>
        <v>0.46112200005852555</v>
      </c>
      <c r="G14" s="17">
        <f t="shared" si="0"/>
        <v>903.7930403375614</v>
      </c>
      <c r="H14" s="17">
        <f t="shared" si="1"/>
        <v>903.8</v>
      </c>
      <c r="I14" s="47">
        <f>1131.5+M14</f>
        <v>1170.7</v>
      </c>
      <c r="J14" s="40">
        <f t="shared" si="3"/>
        <v>2074.5</v>
      </c>
      <c r="K14" s="41">
        <v>1764.1</v>
      </c>
      <c r="L14" s="40">
        <f t="shared" si="4"/>
        <v>310.4000000000001</v>
      </c>
      <c r="M14" s="45">
        <v>39.2</v>
      </c>
      <c r="N14" s="51"/>
      <c r="P14" s="55"/>
      <c r="Q14" s="44"/>
    </row>
    <row r="15" spans="1:17" ht="14.25">
      <c r="A15" s="6">
        <v>10</v>
      </c>
      <c r="B15" s="7" t="s">
        <v>57</v>
      </c>
      <c r="C15" s="49">
        <v>1977</v>
      </c>
      <c r="D15" s="28">
        <v>0.803</v>
      </c>
      <c r="E15" s="28">
        <f>'ИБР 2021'!Y15</f>
        <v>1.1405644068416476</v>
      </c>
      <c r="F15" s="36">
        <f t="shared" si="2"/>
        <v>0.7040374004161661</v>
      </c>
      <c r="G15" s="17">
        <f t="shared" si="0"/>
        <v>446.1467181764314</v>
      </c>
      <c r="H15" s="17">
        <f t="shared" si="1"/>
        <v>446.1</v>
      </c>
      <c r="I15" s="47">
        <f>2864+M15</f>
        <v>2971.2</v>
      </c>
      <c r="J15" s="40">
        <f t="shared" si="3"/>
        <v>3417.2999999999997</v>
      </c>
      <c r="K15" s="41">
        <v>2649.5</v>
      </c>
      <c r="L15" s="40">
        <f t="shared" si="4"/>
        <v>767.7999999999997</v>
      </c>
      <c r="M15" s="45">
        <v>107.2</v>
      </c>
      <c r="N15" s="51"/>
      <c r="P15" s="55"/>
      <c r="Q15" s="44"/>
    </row>
    <row r="16" spans="1:17" ht="14.25">
      <c r="A16" s="12"/>
      <c r="B16" s="13" t="s">
        <v>11</v>
      </c>
      <c r="C16" s="43">
        <f>SUM(C6:C15)</f>
        <v>27627</v>
      </c>
      <c r="D16" s="37">
        <f>'ИНП 2021'!X16</f>
        <v>1</v>
      </c>
      <c r="E16" s="37">
        <f>'ИБР 2021'!Y16</f>
        <v>1</v>
      </c>
      <c r="F16" s="38">
        <f t="shared" si="2"/>
        <v>1</v>
      </c>
      <c r="G16" s="39">
        <f>SUM(G6:G15)</f>
        <v>1349.9397585139927</v>
      </c>
      <c r="H16" s="39">
        <f t="shared" si="1"/>
        <v>1349.9</v>
      </c>
      <c r="I16" s="39">
        <f>SUM(I6:I15)</f>
        <v>58459.09999999999</v>
      </c>
      <c r="J16" s="39">
        <f t="shared" si="3"/>
        <v>59808.99999999999</v>
      </c>
      <c r="K16" s="39">
        <f>SUM(K6:K15)</f>
        <v>60188.600000000006</v>
      </c>
      <c r="L16" s="39">
        <f t="shared" si="4"/>
        <v>-379.6000000000131</v>
      </c>
      <c r="M16" s="1">
        <f>SUM(M6:M15)</f>
        <v>1497.3999999999999</v>
      </c>
      <c r="N16" s="51"/>
      <c r="P16" s="55"/>
      <c r="Q16" s="44"/>
    </row>
    <row r="17" spans="8:14" ht="14.25">
      <c r="H17" s="44"/>
      <c r="N17" s="51"/>
    </row>
    <row r="18" spans="6:17" ht="14.25">
      <c r="F18" s="18" t="s">
        <v>16</v>
      </c>
      <c r="G18" s="9">
        <v>56961.7</v>
      </c>
      <c r="I18" s="44"/>
      <c r="L18" s="44"/>
      <c r="N18" s="52"/>
      <c r="Q18" s="44"/>
    </row>
    <row r="19" spans="12:14" ht="14.25">
      <c r="L19" s="44"/>
      <c r="N19" s="51"/>
    </row>
    <row r="20" ht="11.25">
      <c r="G20" s="44"/>
    </row>
    <row r="21" ht="11.25">
      <c r="G21" s="44"/>
    </row>
  </sheetData>
  <sheetProtection/>
  <mergeCells count="13">
    <mergeCell ref="F3:F4"/>
    <mergeCell ref="G3:G4"/>
    <mergeCell ref="H3:H4"/>
    <mergeCell ref="I3:I4"/>
    <mergeCell ref="J3:J4"/>
    <mergeCell ref="K3:K4"/>
    <mergeCell ref="L3:L4"/>
    <mergeCell ref="C1:H1"/>
    <mergeCell ref="A3:A4"/>
    <mergeCell ref="B3:B4"/>
    <mergeCell ref="C3:C4"/>
    <mergeCell ref="D3:D4"/>
    <mergeCell ref="E3:E4"/>
  </mergeCells>
  <printOptions horizontalCentered="1" verticalCentered="1"/>
  <pageMargins left="0.31496062992125984" right="0.1968503937007874" top="0.1968503937007874" bottom="0.1968503937007874" header="0.15748031496062992" footer="0.15748031496062992"/>
  <pageSetup horizontalDpi="600" verticalDpi="600" orientation="landscape" paperSize="9" scale="8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" sqref="B1:N1"/>
    </sheetView>
  </sheetViews>
  <sheetFormatPr defaultColWidth="8.00390625" defaultRowHeight="12.75"/>
  <cols>
    <col min="1" max="1" width="3.25390625" style="1" customWidth="1"/>
    <col min="2" max="2" width="22.125" style="1" customWidth="1"/>
    <col min="3" max="5" width="8.75390625" style="19" customWidth="1"/>
    <col min="6" max="7" width="9.00390625" style="19" customWidth="1"/>
    <col min="8" max="10" width="8.75390625" style="19" hidden="1" customWidth="1"/>
    <col min="11" max="14" width="8.75390625" style="19" customWidth="1"/>
    <col min="15" max="15" width="9.875" style="19" customWidth="1"/>
    <col min="16" max="17" width="8.75390625" style="19" customWidth="1"/>
    <col min="18" max="18" width="9.625" style="19" customWidth="1"/>
    <col min="19" max="19" width="10.00390625" style="19" customWidth="1"/>
    <col min="20" max="25" width="8.75390625" style="19" customWidth="1"/>
    <col min="26" max="16384" width="8.00390625" style="1" customWidth="1"/>
  </cols>
  <sheetData>
    <row r="1" spans="2:25" ht="27" customHeight="1">
      <c r="B1" s="60" t="s">
        <v>75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11.25">
      <c r="Y2" s="1" t="s">
        <v>19</v>
      </c>
    </row>
    <row r="3" spans="1:25" ht="30.75" customHeight="1">
      <c r="A3" s="69" t="s">
        <v>0</v>
      </c>
      <c r="B3" s="69" t="s">
        <v>1</v>
      </c>
      <c r="C3" s="62" t="str">
        <f>'[2]МР_П'!C3</f>
        <v>Числен-ность постоян-ного населения, чел</v>
      </c>
      <c r="D3" s="20" t="s">
        <v>20</v>
      </c>
      <c r="E3" s="62" t="s">
        <v>21</v>
      </c>
      <c r="F3" s="61" t="s">
        <v>22</v>
      </c>
      <c r="G3" s="61"/>
      <c r="H3" s="21"/>
      <c r="I3" s="21"/>
      <c r="J3" s="21"/>
      <c r="K3" s="61" t="s">
        <v>23</v>
      </c>
      <c r="L3" s="61"/>
      <c r="M3" s="61"/>
      <c r="N3" s="61"/>
      <c r="O3" s="64" t="s">
        <v>24</v>
      </c>
      <c r="P3" s="65"/>
      <c r="Q3" s="65"/>
      <c r="R3" s="65"/>
      <c r="S3" s="66"/>
      <c r="T3" s="64" t="s">
        <v>25</v>
      </c>
      <c r="U3" s="65"/>
      <c r="V3" s="65"/>
      <c r="W3" s="65"/>
      <c r="X3" s="66"/>
      <c r="Y3" s="67" t="s">
        <v>13</v>
      </c>
    </row>
    <row r="4" spans="1:25" ht="56.25">
      <c r="A4" s="70"/>
      <c r="B4" s="70"/>
      <c r="C4" s="63"/>
      <c r="D4" s="20" t="s">
        <v>26</v>
      </c>
      <c r="E4" s="63"/>
      <c r="F4" s="20" t="s">
        <v>27</v>
      </c>
      <c r="G4" s="20" t="s">
        <v>28</v>
      </c>
      <c r="H4" s="22" t="s">
        <v>29</v>
      </c>
      <c r="I4" s="22" t="s">
        <v>30</v>
      </c>
      <c r="J4" s="22"/>
      <c r="K4" s="20" t="s">
        <v>31</v>
      </c>
      <c r="L4" s="20" t="s">
        <v>32</v>
      </c>
      <c r="M4" s="20" t="s">
        <v>33</v>
      </c>
      <c r="N4" s="20" t="s">
        <v>34</v>
      </c>
      <c r="O4" s="15" t="s">
        <v>35</v>
      </c>
      <c r="P4" s="15" t="s">
        <v>36</v>
      </c>
      <c r="Q4" s="15" t="s">
        <v>37</v>
      </c>
      <c r="R4" s="15" t="s">
        <v>38</v>
      </c>
      <c r="S4" s="15" t="s">
        <v>39</v>
      </c>
      <c r="T4" s="15" t="s">
        <v>35</v>
      </c>
      <c r="U4" s="15" t="s">
        <v>36</v>
      </c>
      <c r="V4" s="15" t="s">
        <v>37</v>
      </c>
      <c r="W4" s="15" t="s">
        <v>38</v>
      </c>
      <c r="X4" s="15" t="s">
        <v>39</v>
      </c>
      <c r="Y4" s="68"/>
    </row>
    <row r="5" spans="1:25" s="5" customFormat="1" ht="11.25">
      <c r="A5" s="4"/>
      <c r="B5" s="4"/>
      <c r="C5" s="4"/>
      <c r="D5" s="4"/>
      <c r="E5" s="4"/>
      <c r="F5" s="4"/>
      <c r="G5" s="4"/>
      <c r="H5" s="23"/>
      <c r="I5" s="23"/>
      <c r="J5" s="23"/>
      <c r="K5" s="4"/>
      <c r="L5" s="4"/>
      <c r="M5" s="4"/>
      <c r="N5" s="4"/>
      <c r="O5" s="4"/>
      <c r="P5" s="4"/>
      <c r="Q5" s="4"/>
      <c r="R5" s="4"/>
      <c r="S5" s="4"/>
      <c r="T5" s="24">
        <v>0.263</v>
      </c>
      <c r="U5" s="24">
        <v>0</v>
      </c>
      <c r="V5" s="24">
        <v>0</v>
      </c>
      <c r="W5" s="24">
        <v>0.322</v>
      </c>
      <c r="X5" s="24">
        <v>0.415</v>
      </c>
      <c r="Y5" s="4"/>
    </row>
    <row r="6" spans="1:25" ht="11.25">
      <c r="A6" s="6">
        <v>1</v>
      </c>
      <c r="B6" s="7" t="s">
        <v>48</v>
      </c>
      <c r="C6" s="49">
        <v>9407</v>
      </c>
      <c r="D6" s="8">
        <v>9407</v>
      </c>
      <c r="E6" s="8"/>
      <c r="F6" s="25">
        <v>2381.65</v>
      </c>
      <c r="G6" s="25">
        <v>47.18</v>
      </c>
      <c r="H6" s="26">
        <v>21467.3</v>
      </c>
      <c r="I6" s="26">
        <f aca="true" t="shared" si="0" ref="I6:I12">F6*H6</f>
        <v>51127595.045</v>
      </c>
      <c r="J6" s="27">
        <f>'ИБР 2023'!G6*'ИБР 2023'!H6/'ИБР 2023'!$H$16</f>
        <v>9.139472599463991</v>
      </c>
      <c r="K6" s="28">
        <f aca="true" t="shared" si="1" ref="K6:K15">IF(C6&lt;&gt;0,0.6+0.4*($C$16/COUNT($A$6:$A$15))/C6,0)</f>
        <v>0.7174742213245455</v>
      </c>
      <c r="L6" s="28">
        <f>IF(C6&lt;&gt;0,1+E6/C6,0)</f>
        <v>1</v>
      </c>
      <c r="M6" s="28">
        <f>IF(C6&lt;&gt;0,1+D6/C6,0)</f>
        <v>2</v>
      </c>
      <c r="N6" s="28">
        <f aca="true" t="shared" si="2" ref="N6:N16">IF($G$16&lt;&gt;0,0.9+0.1*(0.8*F6/$F$16+0.2*G6/$G$16),0)</f>
        <v>1</v>
      </c>
      <c r="O6" s="17">
        <f aca="true" t="shared" si="3" ref="O6:O16">C6*K6</f>
        <v>6749.28</v>
      </c>
      <c r="P6" s="17">
        <f>C6*L6*M6</f>
        <v>18814</v>
      </c>
      <c r="Q6" s="17">
        <f aca="true" t="shared" si="4" ref="Q6:Q16">C6*M6</f>
        <v>18814</v>
      </c>
      <c r="R6" s="17">
        <f aca="true" t="shared" si="5" ref="R6:R16">C6*K6*N6</f>
        <v>6749.28</v>
      </c>
      <c r="S6" s="17">
        <f aca="true" t="shared" si="6" ref="S6:S16">C6*L6</f>
        <v>9407</v>
      </c>
      <c r="T6" s="28">
        <f aca="true" t="shared" si="7" ref="T6:T16">IF(C6&lt;&gt;0,(O6/$C6)/(O$16/$C$16),0)</f>
        <v>0.7174742213245455</v>
      </c>
      <c r="U6" s="28">
        <f aca="true" t="shared" si="8" ref="U6:U16">IF(C6&lt;&gt;0,(P6/$C6)/(P$16/$C$16),0)</f>
        <v>1.2509785301031062</v>
      </c>
      <c r="V6" s="28">
        <f aca="true" t="shared" si="9" ref="V6:V16">IF(C6&lt;&gt;0,(Q6/$C6)/(Q$16/$C$16),0)</f>
        <v>1.4203747975630445</v>
      </c>
      <c r="W6" s="28">
        <f aca="true" t="shared" si="10" ref="W6:W16">IF(C6&lt;&gt;0,(R6/$C6)/(R$16/$C$16),0)</f>
        <v>0.7174742213245455</v>
      </c>
      <c r="X6" s="28">
        <f aca="true" t="shared" si="11" ref="X6:X16">IF(C6&lt;&gt;0,(S6/$C6)/(S$16/$C$16),0)</f>
        <v>0.8807383320581484</v>
      </c>
      <c r="Y6" s="29">
        <f>IF(SUM($T$5:$X$5)=1,T6*$T$5+U6*$U$5+V6*$V$5+W6*$W$5+X6*$X$5,0)</f>
        <v>0.7852288272789907</v>
      </c>
    </row>
    <row r="7" spans="1:25" ht="11.25">
      <c r="A7" s="6">
        <v>2</v>
      </c>
      <c r="B7" s="7" t="s">
        <v>49</v>
      </c>
      <c r="C7" s="49">
        <v>5336</v>
      </c>
      <c r="D7" s="8">
        <v>1867</v>
      </c>
      <c r="E7" s="8">
        <v>1327</v>
      </c>
      <c r="F7" s="25">
        <v>2381.65</v>
      </c>
      <c r="G7" s="25">
        <v>47.18</v>
      </c>
      <c r="H7" s="26">
        <v>13753.5</v>
      </c>
      <c r="I7" s="26">
        <f t="shared" si="0"/>
        <v>32756023.275000002</v>
      </c>
      <c r="J7" s="27">
        <f>'ИБР 2023'!G7*'ИБР 2023'!H7/'ИБР 2023'!$H$16</f>
        <v>5.855405029823406</v>
      </c>
      <c r="K7" s="28">
        <f t="shared" si="1"/>
        <v>0.8070989505247376</v>
      </c>
      <c r="L7" s="28">
        <f aca="true" t="shared" si="12" ref="L7:L15">IF(C7&lt;&gt;0,1+E7/C7,0)</f>
        <v>1.2486881559220389</v>
      </c>
      <c r="M7" s="28">
        <f aca="true" t="shared" si="13" ref="M7:M15">IF(C7&lt;&gt;0,1+D7/C7,0)</f>
        <v>1.349887556221889</v>
      </c>
      <c r="N7" s="28">
        <f t="shared" si="2"/>
        <v>1</v>
      </c>
      <c r="O7" s="17">
        <f t="shared" si="3"/>
        <v>4306.679999999999</v>
      </c>
      <c r="P7" s="17">
        <f aca="true" t="shared" si="14" ref="P7:P16">C7*L7*M7</f>
        <v>8994.300787106446</v>
      </c>
      <c r="Q7" s="17">
        <f t="shared" si="4"/>
        <v>7203</v>
      </c>
      <c r="R7" s="17">
        <f t="shared" si="5"/>
        <v>4306.679999999999</v>
      </c>
      <c r="S7" s="17">
        <f t="shared" si="6"/>
        <v>6662.999999999999</v>
      </c>
      <c r="T7" s="28">
        <f t="shared" si="7"/>
        <v>0.8070989505247376</v>
      </c>
      <c r="U7" s="28">
        <f t="shared" si="8"/>
        <v>1.0543175766453927</v>
      </c>
      <c r="V7" s="28">
        <f t="shared" si="9"/>
        <v>0.9586731322007693</v>
      </c>
      <c r="W7" s="28">
        <f t="shared" si="10"/>
        <v>0.8070989505247376</v>
      </c>
      <c r="X7" s="28">
        <f t="shared" si="11"/>
        <v>1.0997675237075417</v>
      </c>
      <c r="Y7" s="29">
        <f aca="true" t="shared" si="15" ref="Y7:Y16">IF(SUM($T$5:$X$5)=1,T7*$T$5+U7*$U$5+V7*$V$5+W7*$W$5+X7*$X$5,0)</f>
        <v>0.9285564083956013</v>
      </c>
    </row>
    <row r="8" spans="1:25" ht="11.25">
      <c r="A8" s="6">
        <v>3</v>
      </c>
      <c r="B8" s="7" t="s">
        <v>50</v>
      </c>
      <c r="C8" s="49">
        <v>2523</v>
      </c>
      <c r="D8" s="8"/>
      <c r="E8" s="8">
        <v>78</v>
      </c>
      <c r="F8" s="25">
        <v>2381.65</v>
      </c>
      <c r="G8" s="25">
        <v>47.18</v>
      </c>
      <c r="H8" s="26">
        <v>16300</v>
      </c>
      <c r="I8" s="26">
        <f t="shared" si="0"/>
        <v>38820895</v>
      </c>
      <c r="J8" s="27">
        <f>'ИБР 2023'!G8*'ИБР 2023'!H8/'ИБР 2023'!$H$16</f>
        <v>6.939550077152835</v>
      </c>
      <c r="K8" s="28">
        <f t="shared" si="1"/>
        <v>1.0380023781212842</v>
      </c>
      <c r="L8" s="28">
        <f t="shared" si="12"/>
        <v>1.0309155766944114</v>
      </c>
      <c r="M8" s="28">
        <f t="shared" si="13"/>
        <v>1</v>
      </c>
      <c r="N8" s="28">
        <f t="shared" si="2"/>
        <v>1</v>
      </c>
      <c r="O8" s="17">
        <f t="shared" si="3"/>
        <v>2618.88</v>
      </c>
      <c r="P8" s="17">
        <f t="shared" si="14"/>
        <v>2601</v>
      </c>
      <c r="Q8" s="17">
        <f t="shared" si="4"/>
        <v>2523</v>
      </c>
      <c r="R8" s="17">
        <f t="shared" si="5"/>
        <v>2618.88</v>
      </c>
      <c r="S8" s="17">
        <f t="shared" si="6"/>
        <v>2601</v>
      </c>
      <c r="T8" s="28">
        <f t="shared" si="7"/>
        <v>1.0380023781212842</v>
      </c>
      <c r="U8" s="28">
        <f t="shared" si="8"/>
        <v>0.6448266263967853</v>
      </c>
      <c r="V8" s="28">
        <f t="shared" si="9"/>
        <v>0.7101873987815223</v>
      </c>
      <c r="W8" s="28">
        <f t="shared" si="10"/>
        <v>1.0380023781212842</v>
      </c>
      <c r="X8" s="28">
        <f t="shared" si="11"/>
        <v>0.9079668655106001</v>
      </c>
      <c r="Y8" s="29">
        <f t="shared" si="15"/>
        <v>0.9840376403878504</v>
      </c>
    </row>
    <row r="9" spans="1:25" ht="11.25">
      <c r="A9" s="6">
        <v>4</v>
      </c>
      <c r="B9" s="7" t="s">
        <v>51</v>
      </c>
      <c r="C9" s="49">
        <v>775</v>
      </c>
      <c r="D9" s="8"/>
      <c r="E9" s="8">
        <v>786</v>
      </c>
      <c r="F9" s="25">
        <v>2381.65</v>
      </c>
      <c r="G9" s="25">
        <v>47.18</v>
      </c>
      <c r="H9" s="26"/>
      <c r="I9" s="26">
        <f t="shared" si="0"/>
        <v>0</v>
      </c>
      <c r="J9" s="27">
        <f>'ИБР 2023'!G9*'ИБР 2023'!H9/'ИБР 2023'!$H$16</f>
        <v>0</v>
      </c>
      <c r="K9" s="28">
        <f t="shared" si="1"/>
        <v>2.025909677419355</v>
      </c>
      <c r="L9" s="28">
        <f t="shared" si="12"/>
        <v>2.0141935483870967</v>
      </c>
      <c r="M9" s="28">
        <f t="shared" si="13"/>
        <v>1</v>
      </c>
      <c r="N9" s="28">
        <f t="shared" si="2"/>
        <v>1</v>
      </c>
      <c r="O9" s="17">
        <f t="shared" si="3"/>
        <v>1570.08</v>
      </c>
      <c r="P9" s="17">
        <f t="shared" si="14"/>
        <v>1561</v>
      </c>
      <c r="Q9" s="17">
        <f t="shared" si="4"/>
        <v>775</v>
      </c>
      <c r="R9" s="17">
        <f t="shared" si="5"/>
        <v>1570.08</v>
      </c>
      <c r="S9" s="17">
        <f t="shared" si="6"/>
        <v>1561</v>
      </c>
      <c r="T9" s="28">
        <f t="shared" si="7"/>
        <v>2.025909677419355</v>
      </c>
      <c r="U9" s="28">
        <f t="shared" si="8"/>
        <v>1.259856442252225</v>
      </c>
      <c r="V9" s="28">
        <f t="shared" si="9"/>
        <v>0.7101873987815223</v>
      </c>
      <c r="W9" s="28">
        <f t="shared" si="10"/>
        <v>2.025909677419355</v>
      </c>
      <c r="X9" s="28">
        <f t="shared" si="11"/>
        <v>1.773977466248735</v>
      </c>
      <c r="Y9" s="29">
        <f t="shared" si="15"/>
        <v>1.9213578097835478</v>
      </c>
    </row>
    <row r="10" spans="1:25" ht="11.25">
      <c r="A10" s="6">
        <v>5</v>
      </c>
      <c r="B10" s="7" t="s">
        <v>52</v>
      </c>
      <c r="C10" s="49">
        <v>2072</v>
      </c>
      <c r="D10" s="8"/>
      <c r="E10" s="8">
        <v>420</v>
      </c>
      <c r="F10" s="25">
        <v>2381.65</v>
      </c>
      <c r="G10" s="25">
        <v>47.18</v>
      </c>
      <c r="H10" s="26">
        <v>20636.3</v>
      </c>
      <c r="I10" s="26">
        <f t="shared" si="0"/>
        <v>49148443.895</v>
      </c>
      <c r="J10" s="27">
        <f>'ИБР 2023'!G10*'ИБР 2023'!H10/'ИБР 2023'!$H$16</f>
        <v>8.785683267309757</v>
      </c>
      <c r="K10" s="28">
        <f t="shared" si="1"/>
        <v>1.1333397683397681</v>
      </c>
      <c r="L10" s="28">
        <f t="shared" si="12"/>
        <v>1.2027027027027026</v>
      </c>
      <c r="M10" s="28">
        <f t="shared" si="13"/>
        <v>1</v>
      </c>
      <c r="N10" s="28">
        <f t="shared" si="2"/>
        <v>1</v>
      </c>
      <c r="O10" s="17">
        <f t="shared" si="3"/>
        <v>2348.2799999999997</v>
      </c>
      <c r="P10" s="17">
        <f t="shared" si="14"/>
        <v>2492</v>
      </c>
      <c r="Q10" s="17">
        <f t="shared" si="4"/>
        <v>2072</v>
      </c>
      <c r="R10" s="17">
        <f t="shared" si="5"/>
        <v>2348.2799999999997</v>
      </c>
      <c r="S10" s="17">
        <f t="shared" si="6"/>
        <v>2492</v>
      </c>
      <c r="T10" s="28">
        <f t="shared" si="7"/>
        <v>1.1333397683397681</v>
      </c>
      <c r="U10" s="28">
        <f t="shared" si="8"/>
        <v>0.75227762958903</v>
      </c>
      <c r="V10" s="28">
        <f t="shared" si="9"/>
        <v>0.7101873987815223</v>
      </c>
      <c r="W10" s="28">
        <f t="shared" si="10"/>
        <v>1.1333397683397681</v>
      </c>
      <c r="X10" s="28">
        <f t="shared" si="11"/>
        <v>1.0592663723402056</v>
      </c>
      <c r="Y10" s="29">
        <f t="shared" si="15"/>
        <v>1.1025993089999497</v>
      </c>
    </row>
    <row r="11" spans="1:25" ht="11.25">
      <c r="A11" s="6">
        <v>6</v>
      </c>
      <c r="B11" s="7" t="s">
        <v>53</v>
      </c>
      <c r="C11" s="49">
        <v>1865</v>
      </c>
      <c r="D11" s="8"/>
      <c r="E11" s="8">
        <v>113</v>
      </c>
      <c r="F11" s="25">
        <v>2381.65</v>
      </c>
      <c r="G11" s="25">
        <v>47.18</v>
      </c>
      <c r="H11" s="26">
        <v>5640</v>
      </c>
      <c r="I11" s="26">
        <f t="shared" si="0"/>
        <v>13432506</v>
      </c>
      <c r="J11" s="27">
        <f>'ИБР 2023'!G11*'ИБР 2023'!H11/'ИБР 2023'!$H$16</f>
        <v>2.4011694745485883</v>
      </c>
      <c r="K11" s="28">
        <f t="shared" si="1"/>
        <v>1.1925361930294907</v>
      </c>
      <c r="L11" s="28">
        <f t="shared" si="12"/>
        <v>1.0605898123324398</v>
      </c>
      <c r="M11" s="28">
        <f t="shared" si="13"/>
        <v>1</v>
      </c>
      <c r="N11" s="28">
        <f t="shared" si="2"/>
        <v>1</v>
      </c>
      <c r="O11" s="17">
        <f t="shared" si="3"/>
        <v>2224.08</v>
      </c>
      <c r="P11" s="17">
        <f t="shared" si="14"/>
        <v>1978.0000000000002</v>
      </c>
      <c r="Q11" s="17">
        <f t="shared" si="4"/>
        <v>1865</v>
      </c>
      <c r="R11" s="17">
        <f t="shared" si="5"/>
        <v>2224.08</v>
      </c>
      <c r="S11" s="17">
        <f t="shared" si="6"/>
        <v>1978.0000000000002</v>
      </c>
      <c r="T11" s="28">
        <f t="shared" si="7"/>
        <v>1.1925361930294907</v>
      </c>
      <c r="U11" s="28">
        <f t="shared" si="8"/>
        <v>0.6633875422369824</v>
      </c>
      <c r="V11" s="28">
        <f t="shared" si="9"/>
        <v>0.7101873987815223</v>
      </c>
      <c r="W11" s="28">
        <f t="shared" si="10"/>
        <v>1.1925361930294907</v>
      </c>
      <c r="X11" s="28">
        <f t="shared" si="11"/>
        <v>0.9341021023115377</v>
      </c>
      <c r="Y11" s="29">
        <f t="shared" si="15"/>
        <v>1.0852860453815403</v>
      </c>
    </row>
    <row r="12" spans="1:25" ht="11.25">
      <c r="A12" s="6">
        <v>7</v>
      </c>
      <c r="B12" s="7" t="s">
        <v>54</v>
      </c>
      <c r="C12" s="49">
        <v>926</v>
      </c>
      <c r="D12" s="8"/>
      <c r="E12" s="8">
        <v>139</v>
      </c>
      <c r="F12" s="25">
        <v>2381.65</v>
      </c>
      <c r="G12" s="25">
        <v>47.18</v>
      </c>
      <c r="H12" s="26">
        <v>6002.5</v>
      </c>
      <c r="I12" s="26">
        <f t="shared" si="0"/>
        <v>14295854.125</v>
      </c>
      <c r="J12" s="27">
        <f>'ИБР 2023'!G12*'ИБР 2023'!H12/'ИБР 2023'!$H$16</f>
        <v>2.555499959393245</v>
      </c>
      <c r="K12" s="28">
        <f t="shared" si="1"/>
        <v>1.7933909287257017</v>
      </c>
      <c r="L12" s="28">
        <f t="shared" si="12"/>
        <v>1.150107991360691</v>
      </c>
      <c r="M12" s="28">
        <f t="shared" si="13"/>
        <v>1</v>
      </c>
      <c r="N12" s="28">
        <f t="shared" si="2"/>
        <v>1</v>
      </c>
      <c r="O12" s="17">
        <f t="shared" si="3"/>
        <v>1660.6799999999998</v>
      </c>
      <c r="P12" s="17">
        <f t="shared" si="14"/>
        <v>1065</v>
      </c>
      <c r="Q12" s="17">
        <f t="shared" si="4"/>
        <v>926</v>
      </c>
      <c r="R12" s="17">
        <f t="shared" si="5"/>
        <v>1660.6799999999998</v>
      </c>
      <c r="S12" s="17">
        <f t="shared" si="6"/>
        <v>1065</v>
      </c>
      <c r="T12" s="28">
        <f t="shared" si="7"/>
        <v>1.7933909287257017</v>
      </c>
      <c r="U12" s="28">
        <f t="shared" si="8"/>
        <v>0.7193802022461167</v>
      </c>
      <c r="V12" s="28">
        <f t="shared" si="9"/>
        <v>0.7101873987815223</v>
      </c>
      <c r="W12" s="28">
        <f t="shared" si="10"/>
        <v>1.7933909287257017</v>
      </c>
      <c r="X12" s="28">
        <f t="shared" si="11"/>
        <v>1.0129441939977626</v>
      </c>
      <c r="Y12" s="29">
        <f t="shared" si="15"/>
        <v>1.4695055338136072</v>
      </c>
    </row>
    <row r="13" spans="1:25" ht="11.25">
      <c r="A13" s="6">
        <v>8</v>
      </c>
      <c r="B13" s="7" t="s">
        <v>55</v>
      </c>
      <c r="C13" s="49">
        <v>2023</v>
      </c>
      <c r="D13" s="8"/>
      <c r="E13" s="8"/>
      <c r="F13" s="25">
        <v>2381.65</v>
      </c>
      <c r="G13" s="25">
        <v>47.18</v>
      </c>
      <c r="H13" s="26"/>
      <c r="I13" s="26"/>
      <c r="J13" s="27"/>
      <c r="K13" s="28">
        <f t="shared" si="1"/>
        <v>1.1462580326248146</v>
      </c>
      <c r="L13" s="28">
        <f t="shared" si="12"/>
        <v>1</v>
      </c>
      <c r="M13" s="28">
        <f t="shared" si="13"/>
        <v>1</v>
      </c>
      <c r="N13" s="28">
        <f t="shared" si="2"/>
        <v>1</v>
      </c>
      <c r="O13" s="17">
        <f t="shared" si="3"/>
        <v>2318.88</v>
      </c>
      <c r="P13" s="17">
        <f t="shared" si="14"/>
        <v>2023</v>
      </c>
      <c r="Q13" s="17">
        <f t="shared" si="4"/>
        <v>2023</v>
      </c>
      <c r="R13" s="17">
        <f t="shared" si="5"/>
        <v>2318.88</v>
      </c>
      <c r="S13" s="17">
        <f t="shared" si="6"/>
        <v>2023</v>
      </c>
      <c r="T13" s="28">
        <f t="shared" si="7"/>
        <v>1.1462580326248146</v>
      </c>
      <c r="U13" s="28">
        <f t="shared" si="8"/>
        <v>0.6254892650515531</v>
      </c>
      <c r="V13" s="28">
        <f t="shared" si="9"/>
        <v>0.7101873987815223</v>
      </c>
      <c r="W13" s="28">
        <f t="shared" si="10"/>
        <v>1.1462580326248146</v>
      </c>
      <c r="X13" s="28">
        <f t="shared" si="11"/>
        <v>0.8807383320581484</v>
      </c>
      <c r="Y13" s="29">
        <f t="shared" si="15"/>
        <v>1.0360673568896481</v>
      </c>
    </row>
    <row r="14" spans="1:25" ht="11.25">
      <c r="A14" s="6">
        <v>9</v>
      </c>
      <c r="B14" s="7" t="s">
        <v>56</v>
      </c>
      <c r="C14" s="49">
        <v>723</v>
      </c>
      <c r="D14" s="8"/>
      <c r="E14" s="8">
        <v>353</v>
      </c>
      <c r="F14" s="25">
        <v>2381.65</v>
      </c>
      <c r="G14" s="25">
        <v>47.18</v>
      </c>
      <c r="H14" s="26">
        <v>14166.2</v>
      </c>
      <c r="I14" s="26">
        <f>F14*H14</f>
        <v>33738930.230000004</v>
      </c>
      <c r="J14" s="27">
        <f>'ИБР 2023'!G14*'ИБР 2023'!H14/'ИБР 2023'!$H$16</f>
        <v>6.031107625948619</v>
      </c>
      <c r="K14" s="28">
        <f t="shared" si="1"/>
        <v>2.1284647302904562</v>
      </c>
      <c r="L14" s="28">
        <f t="shared" si="12"/>
        <v>1.4882434301521439</v>
      </c>
      <c r="M14" s="28">
        <f t="shared" si="13"/>
        <v>1</v>
      </c>
      <c r="N14" s="28">
        <f t="shared" si="2"/>
        <v>1</v>
      </c>
      <c r="O14" s="17">
        <f t="shared" si="3"/>
        <v>1538.8799999999999</v>
      </c>
      <c r="P14" s="17">
        <f t="shared" si="14"/>
        <v>1076</v>
      </c>
      <c r="Q14" s="17">
        <f t="shared" si="4"/>
        <v>723</v>
      </c>
      <c r="R14" s="17">
        <f t="shared" si="5"/>
        <v>1538.8799999999999</v>
      </c>
      <c r="S14" s="17">
        <f t="shared" si="6"/>
        <v>1076</v>
      </c>
      <c r="T14" s="28">
        <f t="shared" si="7"/>
        <v>2.1284647302904562</v>
      </c>
      <c r="U14" s="28">
        <f t="shared" si="8"/>
        <v>0.9308802893436668</v>
      </c>
      <c r="V14" s="28">
        <f t="shared" si="9"/>
        <v>0.7101873987815223</v>
      </c>
      <c r="W14" s="28">
        <f t="shared" si="10"/>
        <v>2.1284647302904562</v>
      </c>
      <c r="X14" s="28">
        <f t="shared" si="11"/>
        <v>1.3107530363686968</v>
      </c>
      <c r="Y14" s="29">
        <f t="shared" si="15"/>
        <v>1.7891143773129259</v>
      </c>
    </row>
    <row r="15" spans="1:25" ht="11.25">
      <c r="A15" s="6">
        <v>10</v>
      </c>
      <c r="B15" s="7" t="s">
        <v>57</v>
      </c>
      <c r="C15" s="49">
        <v>1977</v>
      </c>
      <c r="D15" s="8"/>
      <c r="E15" s="8">
        <v>525</v>
      </c>
      <c r="F15" s="25">
        <v>2381.65</v>
      </c>
      <c r="G15" s="25">
        <v>47.18</v>
      </c>
      <c r="H15" s="26">
        <v>12853.2</v>
      </c>
      <c r="I15" s="26">
        <f>F15*H15</f>
        <v>30611823.78</v>
      </c>
      <c r="J15" s="27">
        <f>'ИБР 2023'!G15*'ИБР 2023'!H15/'ИБР 2023'!$H$16</f>
        <v>5.472111966359559</v>
      </c>
      <c r="K15" s="28">
        <f t="shared" si="1"/>
        <v>1.15896813353566</v>
      </c>
      <c r="L15" s="28">
        <f t="shared" si="12"/>
        <v>1.2655538694992412</v>
      </c>
      <c r="M15" s="28">
        <f t="shared" si="13"/>
        <v>1</v>
      </c>
      <c r="N15" s="28">
        <f t="shared" si="2"/>
        <v>1</v>
      </c>
      <c r="O15" s="17">
        <f t="shared" si="3"/>
        <v>2291.28</v>
      </c>
      <c r="P15" s="17">
        <f t="shared" si="14"/>
        <v>2502</v>
      </c>
      <c r="Q15" s="17">
        <f t="shared" si="4"/>
        <v>1977</v>
      </c>
      <c r="R15" s="17">
        <f t="shared" si="5"/>
        <v>2291.28</v>
      </c>
      <c r="S15" s="17">
        <f t="shared" si="6"/>
        <v>2502</v>
      </c>
      <c r="T15" s="28">
        <f t="shared" si="7"/>
        <v>1.15896813353566</v>
      </c>
      <c r="U15" s="28">
        <f t="shared" si="8"/>
        <v>0.7915903597162295</v>
      </c>
      <c r="V15" s="28">
        <f t="shared" si="9"/>
        <v>0.7101873987815223</v>
      </c>
      <c r="W15" s="28">
        <f t="shared" si="10"/>
        <v>1.15896813353566</v>
      </c>
      <c r="X15" s="28">
        <f t="shared" si="11"/>
        <v>1.1146218041524973</v>
      </c>
      <c r="Y15" s="29">
        <f t="shared" si="15"/>
        <v>1.1405644068416476</v>
      </c>
    </row>
    <row r="16" spans="1:25" ht="12.75">
      <c r="A16" s="12"/>
      <c r="B16" s="13" t="s">
        <v>11</v>
      </c>
      <c r="C16" s="13">
        <f>SUM(C6:C15)</f>
        <v>27627</v>
      </c>
      <c r="D16" s="30">
        <f>SUM(D6:D15)</f>
        <v>11274</v>
      </c>
      <c r="E16" s="30">
        <f>SUM(E6:E15)</f>
        <v>3741</v>
      </c>
      <c r="F16" s="25">
        <v>2381.65</v>
      </c>
      <c r="G16" s="25">
        <v>47.18</v>
      </c>
      <c r="H16" s="31">
        <f>SUM(H6:H15)</f>
        <v>110819</v>
      </c>
      <c r="I16" s="31">
        <f>SUM(I6:I15)</f>
        <v>263932071.35</v>
      </c>
      <c r="J16" s="32">
        <f>SUM(J6:J15)</f>
        <v>47.18000000000001</v>
      </c>
      <c r="K16" s="29">
        <f>IF(C16&lt;&gt;0,0.6+0.4*($C$16/COUNT($A$6:$A$15))/(C16/COUNT($A$6:$A$15)),0)</f>
        <v>1</v>
      </c>
      <c r="L16" s="29">
        <f>IF(C16&lt;&gt;0,1+E16/C16,0)</f>
        <v>1.1354110109675317</v>
      </c>
      <c r="M16" s="29">
        <f>IF(C16&lt;&gt;0,1+D16/C16,0)</f>
        <v>1.408079053100228</v>
      </c>
      <c r="N16" s="29">
        <f t="shared" si="2"/>
        <v>1</v>
      </c>
      <c r="O16" s="33">
        <f t="shared" si="3"/>
        <v>27627</v>
      </c>
      <c r="P16" s="33">
        <f t="shared" si="14"/>
        <v>44168.623737647955</v>
      </c>
      <c r="Q16" s="33">
        <f t="shared" si="4"/>
        <v>38901</v>
      </c>
      <c r="R16" s="33">
        <f t="shared" si="5"/>
        <v>27627</v>
      </c>
      <c r="S16" s="33">
        <f t="shared" si="6"/>
        <v>31368</v>
      </c>
      <c r="T16" s="29">
        <f t="shared" si="7"/>
        <v>1</v>
      </c>
      <c r="U16" s="29">
        <f t="shared" si="8"/>
        <v>1</v>
      </c>
      <c r="V16" s="29">
        <f t="shared" si="9"/>
        <v>1</v>
      </c>
      <c r="W16" s="29">
        <f t="shared" si="10"/>
        <v>1</v>
      </c>
      <c r="X16" s="29">
        <f t="shared" si="11"/>
        <v>1</v>
      </c>
      <c r="Y16" s="29">
        <f t="shared" si="15"/>
        <v>1</v>
      </c>
    </row>
    <row r="17" spans="3:25" ht="11.2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3:25" ht="11.25"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3:25" ht="11.25"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</row>
  </sheetData>
  <sheetProtection/>
  <mergeCells count="10">
    <mergeCell ref="O3:S3"/>
    <mergeCell ref="T3:X3"/>
    <mergeCell ref="Y3:Y4"/>
    <mergeCell ref="B1:N1"/>
    <mergeCell ref="A3:A4"/>
    <mergeCell ref="B3:B4"/>
    <mergeCell ref="C3:C4"/>
    <mergeCell ref="E3:E4"/>
    <mergeCell ref="F3:G3"/>
    <mergeCell ref="K3:N3"/>
  </mergeCells>
  <printOptions horizontalCentered="1" verticalCentered="1"/>
  <pageMargins left="0.31496062992125984" right="0.1968503937007874" top="0.1968503937007874" bottom="0.1968503937007874" header="0.15748031496062992" footer="0.15748031496062992"/>
  <pageSetup horizontalDpi="600" verticalDpi="600" orientation="landscape" paperSize="9" scale="85" r:id="rId1"/>
  <colBreaks count="1" manualBreakCount="1">
    <brk id="14" max="4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X16"/>
  <sheetViews>
    <sheetView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4" sqref="I4"/>
    </sheetView>
  </sheetViews>
  <sheetFormatPr defaultColWidth="8.00390625" defaultRowHeight="12.75"/>
  <cols>
    <col min="1" max="1" width="3.25390625" style="1" customWidth="1"/>
    <col min="2" max="2" width="22.125" style="1" customWidth="1"/>
    <col min="3" max="3" width="10.875" style="1" customWidth="1"/>
    <col min="4" max="24" width="12.00390625" style="1" customWidth="1"/>
    <col min="25" max="16384" width="8.00390625" style="1" customWidth="1"/>
  </cols>
  <sheetData>
    <row r="1" spans="3:24" ht="27" customHeight="1">
      <c r="C1" s="60" t="s">
        <v>73</v>
      </c>
      <c r="D1" s="60"/>
      <c r="E1" s="60"/>
      <c r="F1" s="60"/>
      <c r="G1" s="60"/>
      <c r="H1" s="60"/>
      <c r="I1" s="60"/>
      <c r="J1" s="60"/>
      <c r="K1" s="60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3" spans="1:24" ht="30.75" customHeight="1">
      <c r="A3" s="71" t="s">
        <v>0</v>
      </c>
      <c r="B3" s="71" t="s">
        <v>1</v>
      </c>
      <c r="C3" s="73" t="s">
        <v>2</v>
      </c>
      <c r="D3" s="71" t="s">
        <v>3</v>
      </c>
      <c r="E3" s="71"/>
      <c r="F3" s="71"/>
      <c r="G3" s="71"/>
      <c r="H3" s="71" t="s">
        <v>4</v>
      </c>
      <c r="I3" s="71"/>
      <c r="J3" s="71"/>
      <c r="K3" s="71"/>
      <c r="L3" s="71" t="s">
        <v>5</v>
      </c>
      <c r="M3" s="71"/>
      <c r="N3" s="71"/>
      <c r="O3" s="71"/>
      <c r="P3" s="71" t="s">
        <v>6</v>
      </c>
      <c r="Q3" s="71"/>
      <c r="R3" s="71"/>
      <c r="S3" s="71"/>
      <c r="T3" s="72" t="s">
        <v>7</v>
      </c>
      <c r="U3" s="72" t="s">
        <v>44</v>
      </c>
      <c r="V3" s="72" t="s">
        <v>45</v>
      </c>
      <c r="W3" s="72" t="s">
        <v>46</v>
      </c>
      <c r="X3" s="72" t="s">
        <v>47</v>
      </c>
    </row>
    <row r="4" spans="1:24" ht="90" customHeight="1">
      <c r="A4" s="71"/>
      <c r="B4" s="71"/>
      <c r="C4" s="73"/>
      <c r="D4" s="3" t="s">
        <v>8</v>
      </c>
      <c r="E4" s="46" t="s">
        <v>68</v>
      </c>
      <c r="F4" s="3" t="s">
        <v>9</v>
      </c>
      <c r="G4" s="3" t="str">
        <f>"Налоговый потенциал по репрезента-тивной налоговой ставке  "&amp;FIXED(F16,6)&amp;", контингент"</f>
        <v>Налоговый потенциал по репрезента-тивной налоговой ставке  0,130000, контингент</v>
      </c>
      <c r="H4" s="3" t="s">
        <v>12</v>
      </c>
      <c r="I4" s="46" t="s">
        <v>69</v>
      </c>
      <c r="J4" s="3" t="s">
        <v>9</v>
      </c>
      <c r="K4" s="3" t="str">
        <f>"Налоговый потенциал по репрезента-тивной налоговой ставке  "&amp;FIXED(J16,6)&amp;", контингент"</f>
        <v>Налоговый потенциал по репрезента-тивной налоговой ставке  0,003000, контингент</v>
      </c>
      <c r="L4" s="3" t="s">
        <v>12</v>
      </c>
      <c r="M4" s="46" t="s">
        <v>69</v>
      </c>
      <c r="N4" s="3" t="s">
        <v>9</v>
      </c>
      <c r="O4" s="3" t="str">
        <f>"Налоговый потенциал по репрезента-тивной налоговой ставке  "&amp;FIXED(N16,6)&amp;", контингент"</f>
        <v>Налоговый потенциал по репрезента-тивной налоговой ставке  0,003000, контингент</v>
      </c>
      <c r="P4" s="3" t="s">
        <v>12</v>
      </c>
      <c r="Q4" s="46" t="s">
        <v>70</v>
      </c>
      <c r="R4" s="3" t="s">
        <v>9</v>
      </c>
      <c r="S4" s="3" t="str">
        <f>"Налоговый потенциал по репрезента-тивной налоговой ставке  "&amp;FIXED(R16,6)&amp;", контингент"</f>
        <v>Налоговый потенциал по репрезента-тивной налоговой ставке  0,030000, контингент</v>
      </c>
      <c r="T4" s="72"/>
      <c r="U4" s="72"/>
      <c r="V4" s="72"/>
      <c r="W4" s="72"/>
      <c r="X4" s="72"/>
    </row>
    <row r="5" spans="1:24" s="5" customFormat="1" ht="11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2.75">
      <c r="A6" s="6">
        <v>1</v>
      </c>
      <c r="B6" s="7" t="s">
        <v>48</v>
      </c>
      <c r="C6" s="49">
        <v>9407</v>
      </c>
      <c r="D6" s="59">
        <v>496883.9</v>
      </c>
      <c r="E6" s="57"/>
      <c r="F6" s="10" t="s">
        <v>10</v>
      </c>
      <c r="G6" s="11">
        <f aca="true" t="shared" si="0" ref="G6:G15">D6*$F$16*0.1</f>
        <v>6459.490938350187</v>
      </c>
      <c r="H6" s="59">
        <v>718333.3</v>
      </c>
      <c r="I6" s="59">
        <v>2155</v>
      </c>
      <c r="J6" s="10" t="s">
        <v>10</v>
      </c>
      <c r="K6" s="11">
        <f aca="true" t="shared" si="1" ref="K6:K15">H6*$J$16</f>
        <v>2155.0000424322566</v>
      </c>
      <c r="L6" s="59">
        <v>2200333.3</v>
      </c>
      <c r="M6" s="59">
        <v>6601</v>
      </c>
      <c r="N6" s="10" t="s">
        <v>10</v>
      </c>
      <c r="O6" s="11">
        <f aca="true" t="shared" si="2" ref="O6:O15">L6*$N$16</f>
        <v>6601.000011517507</v>
      </c>
      <c r="P6" s="59">
        <v>8066.7</v>
      </c>
      <c r="Q6" s="59">
        <v>242</v>
      </c>
      <c r="R6" s="10" t="s">
        <v>10</v>
      </c>
      <c r="S6" s="11">
        <f aca="true" t="shared" si="3" ref="S6:S15">P6*$R$16</f>
        <v>242.00086982201728</v>
      </c>
      <c r="T6" s="11">
        <f aca="true" t="shared" si="4" ref="T6:T16">S6+O6+K6+G6</f>
        <v>15457.491862121968</v>
      </c>
      <c r="U6" s="45">
        <v>529.7</v>
      </c>
      <c r="V6" s="11">
        <f>T6+U6</f>
        <v>15987.191862121968</v>
      </c>
      <c r="W6" s="11">
        <f>IF(C6&lt;&gt;0,V6/C6,0)</f>
        <v>1.6994995069758656</v>
      </c>
      <c r="X6" s="36">
        <f aca="true" t="shared" si="5" ref="X6:X16">IF($W$16&lt;&gt;0,W6/$W$16,0)</f>
        <v>0.8699179511682091</v>
      </c>
    </row>
    <row r="7" spans="1:24" ht="12.75">
      <c r="A7" s="6">
        <v>2</v>
      </c>
      <c r="B7" s="7" t="s">
        <v>49</v>
      </c>
      <c r="C7" s="49">
        <v>5336</v>
      </c>
      <c r="D7" s="59">
        <v>281851</v>
      </c>
      <c r="E7" s="57"/>
      <c r="F7" s="10" t="s">
        <v>10</v>
      </c>
      <c r="G7" s="11">
        <f t="shared" si="0"/>
        <v>3664.0631352010773</v>
      </c>
      <c r="H7" s="59">
        <v>287333.3</v>
      </c>
      <c r="I7" s="59">
        <v>862</v>
      </c>
      <c r="J7" s="10" t="s">
        <v>10</v>
      </c>
      <c r="K7" s="11">
        <f t="shared" si="1"/>
        <v>861.9999569728985</v>
      </c>
      <c r="L7" s="59">
        <v>1135000</v>
      </c>
      <c r="M7" s="59">
        <v>3405</v>
      </c>
      <c r="N7" s="10" t="s">
        <v>10</v>
      </c>
      <c r="O7" s="11">
        <f t="shared" si="2"/>
        <v>3405.000057524181</v>
      </c>
      <c r="P7" s="59">
        <v>6300</v>
      </c>
      <c r="Q7" s="59">
        <v>189</v>
      </c>
      <c r="R7" s="10" t="s">
        <v>10</v>
      </c>
      <c r="S7" s="11">
        <f t="shared" si="3"/>
        <v>188.99989833249145</v>
      </c>
      <c r="T7" s="11">
        <f t="shared" si="4"/>
        <v>8120.063048030648</v>
      </c>
      <c r="U7" s="45">
        <v>300.4</v>
      </c>
      <c r="V7" s="11">
        <f aca="true" t="shared" si="6" ref="V7:V15">T7+U7</f>
        <v>8420.463048030648</v>
      </c>
      <c r="W7" s="11">
        <f aca="true" t="shared" si="7" ref="W7:W16">IF(C7&lt;&gt;0,V7/C7,0)</f>
        <v>1.578047797606943</v>
      </c>
      <c r="X7" s="36">
        <f t="shared" si="5"/>
        <v>0.8077508121096685</v>
      </c>
    </row>
    <row r="8" spans="1:24" ht="12.75">
      <c r="A8" s="6">
        <v>3</v>
      </c>
      <c r="B8" s="7" t="s">
        <v>50</v>
      </c>
      <c r="C8" s="49">
        <v>2523</v>
      </c>
      <c r="D8" s="59">
        <v>133266.5</v>
      </c>
      <c r="E8" s="57"/>
      <c r="F8" s="10" t="s">
        <v>10</v>
      </c>
      <c r="G8" s="11">
        <f t="shared" si="0"/>
        <v>1732.4645639265937</v>
      </c>
      <c r="H8" s="59">
        <v>249333.3</v>
      </c>
      <c r="I8" s="59">
        <v>748</v>
      </c>
      <c r="J8" s="10" t="s">
        <v>10</v>
      </c>
      <c r="K8" s="11">
        <f t="shared" si="1"/>
        <v>747.9999494381988</v>
      </c>
      <c r="L8" s="59">
        <v>909666.7</v>
      </c>
      <c r="M8" s="59">
        <v>2729</v>
      </c>
      <c r="N8" s="10" t="s">
        <v>10</v>
      </c>
      <c r="O8" s="11">
        <f t="shared" si="2"/>
        <v>2729.0001461038164</v>
      </c>
      <c r="P8" s="59">
        <v>6066.7</v>
      </c>
      <c r="Q8" s="59">
        <v>182</v>
      </c>
      <c r="R8" s="10" t="s">
        <v>10</v>
      </c>
      <c r="S8" s="11">
        <f t="shared" si="3"/>
        <v>182.00090209741683</v>
      </c>
      <c r="T8" s="11">
        <f t="shared" si="4"/>
        <v>5391.465561566025</v>
      </c>
      <c r="U8" s="45">
        <v>142</v>
      </c>
      <c r="V8" s="11">
        <f t="shared" si="6"/>
        <v>5533.465561566025</v>
      </c>
      <c r="W8" s="11">
        <f t="shared" si="7"/>
        <v>2.1932087045446</v>
      </c>
      <c r="X8" s="36">
        <f t="shared" si="5"/>
        <v>1.1226314658582683</v>
      </c>
    </row>
    <row r="9" spans="1:24" ht="12.75">
      <c r="A9" s="6">
        <v>4</v>
      </c>
      <c r="B9" s="7" t="s">
        <v>51</v>
      </c>
      <c r="C9" s="49">
        <v>775</v>
      </c>
      <c r="D9" s="59">
        <v>40936</v>
      </c>
      <c r="E9" s="57"/>
      <c r="F9" s="10" t="s">
        <v>10</v>
      </c>
      <c r="G9" s="11">
        <f t="shared" si="0"/>
        <v>532.1680196365857</v>
      </c>
      <c r="H9" s="59">
        <v>148333.3</v>
      </c>
      <c r="I9" s="59">
        <v>445</v>
      </c>
      <c r="J9" s="10" t="s">
        <v>10</v>
      </c>
      <c r="K9" s="11">
        <f t="shared" si="1"/>
        <v>444.99992941176</v>
      </c>
      <c r="L9" s="59">
        <v>351333.3</v>
      </c>
      <c r="M9" s="59">
        <v>1054</v>
      </c>
      <c r="N9" s="10" t="s">
        <v>10</v>
      </c>
      <c r="O9" s="11">
        <f t="shared" si="2"/>
        <v>1053.9999178063088</v>
      </c>
      <c r="P9" s="59">
        <v>37333.3</v>
      </c>
      <c r="Q9" s="59">
        <v>1120</v>
      </c>
      <c r="R9" s="10" t="s">
        <v>10</v>
      </c>
      <c r="S9" s="11">
        <f t="shared" si="3"/>
        <v>1119.9983975264133</v>
      </c>
      <c r="T9" s="11">
        <f t="shared" si="4"/>
        <v>3151.166264381068</v>
      </c>
      <c r="U9" s="45">
        <v>43.6</v>
      </c>
      <c r="V9" s="11">
        <f t="shared" si="6"/>
        <v>3194.7662643810677</v>
      </c>
      <c r="W9" s="11">
        <f t="shared" si="7"/>
        <v>4.122279050814281</v>
      </c>
      <c r="X9" s="36">
        <f t="shared" si="5"/>
        <v>2.1100591858417728</v>
      </c>
    </row>
    <row r="10" spans="1:24" ht="12.75">
      <c r="A10" s="6">
        <v>5</v>
      </c>
      <c r="B10" s="7" t="s">
        <v>52</v>
      </c>
      <c r="C10" s="49">
        <v>2072</v>
      </c>
      <c r="D10" s="59">
        <v>109444.4</v>
      </c>
      <c r="E10" s="57"/>
      <c r="F10" s="10" t="s">
        <v>10</v>
      </c>
      <c r="G10" s="11">
        <f t="shared" si="0"/>
        <v>1422.777252499373</v>
      </c>
      <c r="H10" s="59">
        <v>125000</v>
      </c>
      <c r="I10" s="59">
        <v>375</v>
      </c>
      <c r="J10" s="10" t="s">
        <v>10</v>
      </c>
      <c r="K10" s="11">
        <f t="shared" si="1"/>
        <v>375.00002478519656</v>
      </c>
      <c r="L10" s="59">
        <v>882333.3</v>
      </c>
      <c r="M10" s="59">
        <v>2647</v>
      </c>
      <c r="N10" s="10" t="s">
        <v>10</v>
      </c>
      <c r="O10" s="11">
        <f t="shared" si="2"/>
        <v>2646.999944718503</v>
      </c>
      <c r="P10" s="59">
        <v>4600</v>
      </c>
      <c r="Q10" s="59">
        <v>138</v>
      </c>
      <c r="R10" s="10" t="s">
        <v>10</v>
      </c>
      <c r="S10" s="11">
        <f t="shared" si="3"/>
        <v>137.99992576658107</v>
      </c>
      <c r="T10" s="11">
        <f t="shared" si="4"/>
        <v>4582.777147769653</v>
      </c>
      <c r="U10" s="45">
        <v>116.7</v>
      </c>
      <c r="V10" s="11">
        <f t="shared" si="6"/>
        <v>4699.477147769653</v>
      </c>
      <c r="W10" s="11">
        <f t="shared" si="7"/>
        <v>2.2680874265297555</v>
      </c>
      <c r="X10" s="36">
        <f t="shared" si="5"/>
        <v>1.1609594230880587</v>
      </c>
    </row>
    <row r="11" spans="1:24" ht="12.75">
      <c r="A11" s="6">
        <v>6</v>
      </c>
      <c r="B11" s="7" t="s">
        <v>53</v>
      </c>
      <c r="C11" s="49">
        <v>1865</v>
      </c>
      <c r="D11" s="59">
        <v>98510.5</v>
      </c>
      <c r="E11" s="57"/>
      <c r="F11" s="10" t="s">
        <v>10</v>
      </c>
      <c r="G11" s="11">
        <f t="shared" si="0"/>
        <v>1280.6365472544917</v>
      </c>
      <c r="H11" s="59">
        <v>138000</v>
      </c>
      <c r="I11" s="59">
        <v>414</v>
      </c>
      <c r="J11" s="10" t="s">
        <v>10</v>
      </c>
      <c r="K11" s="11">
        <f t="shared" si="1"/>
        <v>414.000027362857</v>
      </c>
      <c r="L11" s="59">
        <v>695333.3</v>
      </c>
      <c r="M11" s="59">
        <v>2086</v>
      </c>
      <c r="N11" s="10" t="s">
        <v>10</v>
      </c>
      <c r="O11" s="11">
        <f t="shared" si="2"/>
        <v>2085.9999352409504</v>
      </c>
      <c r="P11" s="59">
        <v>39800</v>
      </c>
      <c r="Q11" s="59">
        <v>1194</v>
      </c>
      <c r="R11" s="10" t="s">
        <v>10</v>
      </c>
      <c r="S11" s="11">
        <f t="shared" si="3"/>
        <v>1193.9993577195492</v>
      </c>
      <c r="T11" s="11">
        <f t="shared" si="4"/>
        <v>4974.635867577848</v>
      </c>
      <c r="U11" s="45">
        <v>105</v>
      </c>
      <c r="V11" s="11">
        <f t="shared" si="6"/>
        <v>5079.635867577848</v>
      </c>
      <c r="W11" s="11">
        <f t="shared" si="7"/>
        <v>2.723665344545763</v>
      </c>
      <c r="X11" s="36">
        <f t="shared" si="5"/>
        <v>1.3941547887890926</v>
      </c>
    </row>
    <row r="12" spans="1:24" ht="12.75">
      <c r="A12" s="6">
        <v>7</v>
      </c>
      <c r="B12" s="7" t="s">
        <v>54</v>
      </c>
      <c r="C12" s="49">
        <v>926</v>
      </c>
      <c r="D12" s="59">
        <v>48911.9</v>
      </c>
      <c r="E12" s="57"/>
      <c r="F12" s="10" t="s">
        <v>10</v>
      </c>
      <c r="G12" s="11">
        <f t="shared" si="0"/>
        <v>635.8547234625444</v>
      </c>
      <c r="H12" s="59">
        <v>104666.7</v>
      </c>
      <c r="I12" s="59">
        <v>314</v>
      </c>
      <c r="J12" s="10" t="s">
        <v>10</v>
      </c>
      <c r="K12" s="11">
        <f t="shared" si="1"/>
        <v>314.00012075347786</v>
      </c>
      <c r="L12" s="59">
        <v>360333.3</v>
      </c>
      <c r="M12" s="59">
        <v>1081</v>
      </c>
      <c r="N12" s="10" t="s">
        <v>10</v>
      </c>
      <c r="O12" s="11">
        <f t="shared" si="2"/>
        <v>1080.9999182624476</v>
      </c>
      <c r="P12" s="59">
        <v>166.7</v>
      </c>
      <c r="Q12" s="59">
        <v>5</v>
      </c>
      <c r="R12" s="10" t="s">
        <v>10</v>
      </c>
      <c r="S12" s="11">
        <f t="shared" si="3"/>
        <v>5.000997309845449</v>
      </c>
      <c r="T12" s="11">
        <f t="shared" si="4"/>
        <v>2035.8557597883153</v>
      </c>
      <c r="U12" s="45">
        <v>52.1</v>
      </c>
      <c r="V12" s="11">
        <f t="shared" si="6"/>
        <v>2087.9557597883154</v>
      </c>
      <c r="W12" s="11">
        <f t="shared" si="7"/>
        <v>2.2548118356245306</v>
      </c>
      <c r="X12" s="36">
        <f t="shared" si="5"/>
        <v>1.1541640843466132</v>
      </c>
    </row>
    <row r="13" spans="1:24" ht="12.75">
      <c r="A13" s="6">
        <v>8</v>
      </c>
      <c r="B13" s="7" t="s">
        <v>55</v>
      </c>
      <c r="C13" s="49">
        <v>2023</v>
      </c>
      <c r="D13" s="59">
        <v>106856.2</v>
      </c>
      <c r="E13" s="57"/>
      <c r="F13" s="10" t="s">
        <v>10</v>
      </c>
      <c r="G13" s="11">
        <f t="shared" si="0"/>
        <v>1389.1306512578394</v>
      </c>
      <c r="H13" s="59">
        <v>118333.3</v>
      </c>
      <c r="I13" s="59">
        <v>355</v>
      </c>
      <c r="J13" s="10" t="s">
        <v>10</v>
      </c>
      <c r="K13" s="11">
        <f t="shared" si="1"/>
        <v>354.9999234633128</v>
      </c>
      <c r="L13" s="59">
        <v>803333.3</v>
      </c>
      <c r="M13" s="59">
        <v>2410</v>
      </c>
      <c r="N13" s="10" t="s">
        <v>10</v>
      </c>
      <c r="O13" s="11">
        <f t="shared" si="2"/>
        <v>2409.999940714617</v>
      </c>
      <c r="P13" s="59">
        <v>17766.7</v>
      </c>
      <c r="Q13" s="59">
        <v>533</v>
      </c>
      <c r="R13" s="10" t="s">
        <v>10</v>
      </c>
      <c r="S13" s="11">
        <f t="shared" si="3"/>
        <v>533.0007132863295</v>
      </c>
      <c r="T13" s="11">
        <f t="shared" si="4"/>
        <v>4687.131228722099</v>
      </c>
      <c r="U13" s="45">
        <v>113.9</v>
      </c>
      <c r="V13" s="11">
        <f t="shared" si="6"/>
        <v>4801.031228722099</v>
      </c>
      <c r="W13" s="11">
        <f t="shared" si="7"/>
        <v>2.3732235436095395</v>
      </c>
      <c r="X13" s="36">
        <f t="shared" si="5"/>
        <v>1.2147751465927819</v>
      </c>
    </row>
    <row r="14" spans="1:24" ht="12.75">
      <c r="A14" s="6">
        <v>9</v>
      </c>
      <c r="B14" s="7" t="s">
        <v>56</v>
      </c>
      <c r="C14" s="49">
        <v>723</v>
      </c>
      <c r="D14" s="59">
        <v>38189.3</v>
      </c>
      <c r="E14" s="57"/>
      <c r="F14" s="10" t="s">
        <v>10</v>
      </c>
      <c r="G14" s="11">
        <f t="shared" si="0"/>
        <v>496.4609183190214</v>
      </c>
      <c r="H14" s="59">
        <v>34333.3</v>
      </c>
      <c r="I14" s="59">
        <v>103</v>
      </c>
      <c r="J14" s="10" t="s">
        <v>10</v>
      </c>
      <c r="K14" s="11">
        <f t="shared" si="1"/>
        <v>102.99990680766072</v>
      </c>
      <c r="L14" s="59">
        <v>165000</v>
      </c>
      <c r="M14" s="59">
        <v>495</v>
      </c>
      <c r="N14" s="10" t="s">
        <v>10</v>
      </c>
      <c r="O14" s="11">
        <f t="shared" si="2"/>
        <v>495.00000836254617</v>
      </c>
      <c r="P14" s="59">
        <v>200</v>
      </c>
      <c r="Q14" s="59">
        <v>6</v>
      </c>
      <c r="R14" s="10" t="s">
        <v>10</v>
      </c>
      <c r="S14" s="11">
        <f t="shared" si="3"/>
        <v>5.9999967724600465</v>
      </c>
      <c r="T14" s="11">
        <f t="shared" si="4"/>
        <v>1100.4608302616884</v>
      </c>
      <c r="U14" s="45">
        <v>40.7</v>
      </c>
      <c r="V14" s="11">
        <f t="shared" si="6"/>
        <v>1141.1608302616885</v>
      </c>
      <c r="W14" s="11">
        <f t="shared" si="7"/>
        <v>1.5783690598363602</v>
      </c>
      <c r="X14" s="36">
        <f t="shared" si="5"/>
        <v>0.8079152556880604</v>
      </c>
    </row>
    <row r="15" spans="1:24" ht="12.75">
      <c r="A15" s="6">
        <v>10</v>
      </c>
      <c r="B15" s="7" t="s">
        <v>57</v>
      </c>
      <c r="C15" s="49">
        <v>1977</v>
      </c>
      <c r="D15" s="59">
        <v>104426.4</v>
      </c>
      <c r="E15" s="57"/>
      <c r="F15" s="10" t="s">
        <v>10</v>
      </c>
      <c r="G15" s="11">
        <f t="shared" si="0"/>
        <v>1357.5432500922889</v>
      </c>
      <c r="H15" s="59">
        <v>93666.7</v>
      </c>
      <c r="I15" s="59">
        <v>281</v>
      </c>
      <c r="J15" s="10" t="s">
        <v>10</v>
      </c>
      <c r="K15" s="11">
        <f t="shared" si="1"/>
        <v>281.0001185723806</v>
      </c>
      <c r="L15" s="59">
        <v>389666.7</v>
      </c>
      <c r="M15" s="59">
        <v>1169</v>
      </c>
      <c r="N15" s="10" t="s">
        <v>10</v>
      </c>
      <c r="O15" s="11">
        <f t="shared" si="2"/>
        <v>1169.0001197491258</v>
      </c>
      <c r="P15" s="59">
        <v>3633.3</v>
      </c>
      <c r="Q15" s="59">
        <v>109</v>
      </c>
      <c r="R15" s="10" t="s">
        <v>10</v>
      </c>
      <c r="S15" s="11">
        <f t="shared" si="3"/>
        <v>108.99894136689544</v>
      </c>
      <c r="T15" s="11">
        <f t="shared" si="4"/>
        <v>2916.542429780691</v>
      </c>
      <c r="U15" s="45">
        <v>111.3</v>
      </c>
      <c r="V15" s="11">
        <f t="shared" si="6"/>
        <v>3027.842429780691</v>
      </c>
      <c r="W15" s="11">
        <f t="shared" si="7"/>
        <v>1.5315338542138042</v>
      </c>
      <c r="X15" s="36">
        <f t="shared" si="5"/>
        <v>0.7839418529595038</v>
      </c>
    </row>
    <row r="16" spans="1:24" ht="12.75">
      <c r="A16" s="12"/>
      <c r="B16" s="13" t="s">
        <v>11</v>
      </c>
      <c r="C16" s="13">
        <f>SUM(C6:C15)</f>
        <v>27627</v>
      </c>
      <c r="D16" s="14">
        <f>SUM(D6:D15)</f>
        <v>1459276.0999999999</v>
      </c>
      <c r="E16" s="14">
        <v>189705.9</v>
      </c>
      <c r="F16" s="13">
        <f>IF(D16&lt;&gt;0,E16/D16,0)</f>
        <v>0.13000000479689897</v>
      </c>
      <c r="G16" s="14">
        <f>SUM(G6:G15)</f>
        <v>18970.589999999997</v>
      </c>
      <c r="H16" s="14">
        <f>SUM(H6:H15)</f>
        <v>2017333.2000000002</v>
      </c>
      <c r="I16" s="14">
        <f>SUM(I6:I15)</f>
        <v>6052</v>
      </c>
      <c r="J16" s="13">
        <f>IF(H16&lt;&gt;0,I16/H16,0)</f>
        <v>0.0030000001982815726</v>
      </c>
      <c r="K16" s="14">
        <f>SUM(K6:K15)</f>
        <v>6051.999999999998</v>
      </c>
      <c r="L16" s="14">
        <f>SUM(L6:L15)</f>
        <v>7892333.199999999</v>
      </c>
      <c r="M16" s="14">
        <f>SUM(M6:M15)</f>
        <v>23677</v>
      </c>
      <c r="N16" s="13">
        <f>IF(L16&lt;&gt;0,M16/L16,0)</f>
        <v>0.003000000050682098</v>
      </c>
      <c r="O16" s="14">
        <f>SUM(O6:O15)</f>
        <v>23677.000000000004</v>
      </c>
      <c r="P16" s="14">
        <f>P6+P7+P8+P9+P10+P11+P12+P13++P14+P15</f>
        <v>123933.40000000001</v>
      </c>
      <c r="Q16" s="14">
        <f>SUM(Q6:Q15)</f>
        <v>3718</v>
      </c>
      <c r="R16" s="13">
        <f>IF(P16&lt;&gt;0,Q16/P16,0)</f>
        <v>0.029999983862300232</v>
      </c>
      <c r="S16" s="14">
        <f>SUM(S6:S15)</f>
        <v>3717.9999999999995</v>
      </c>
      <c r="T16" s="14">
        <f t="shared" si="4"/>
        <v>52417.59</v>
      </c>
      <c r="U16" s="14">
        <f>SUM(U6:U15)</f>
        <v>1555.4</v>
      </c>
      <c r="V16" s="14">
        <f>U16+T16</f>
        <v>53972.99</v>
      </c>
      <c r="W16" s="42">
        <f t="shared" si="7"/>
        <v>1.9536319542476561</v>
      </c>
      <c r="X16" s="14">
        <f t="shared" si="5"/>
        <v>1</v>
      </c>
    </row>
  </sheetData>
  <sheetProtection/>
  <mergeCells count="13">
    <mergeCell ref="X3:X4"/>
    <mergeCell ref="L3:O3"/>
    <mergeCell ref="P3:S3"/>
    <mergeCell ref="T3:T4"/>
    <mergeCell ref="U3:U4"/>
    <mergeCell ref="V3:V4"/>
    <mergeCell ref="W3:W4"/>
    <mergeCell ref="C1:K1"/>
    <mergeCell ref="A3:A4"/>
    <mergeCell ref="B3:B4"/>
    <mergeCell ref="C3:C4"/>
    <mergeCell ref="D3:G3"/>
    <mergeCell ref="H3:K3"/>
  </mergeCells>
  <printOptions horizontalCentered="1" verticalCentered="1"/>
  <pageMargins left="0.31496062992125984" right="0.1968503937007874" top="0.1968503937007874" bottom="0.1968503937007874" header="0.15748031496062992" footer="0.15748031496062992"/>
  <pageSetup horizontalDpi="600" verticalDpi="600" orientation="landscape" paperSize="9" scale="70" r:id="rId1"/>
  <colBreaks count="1" manualBreakCount="1">
    <brk id="15" max="2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1"/>
  <sheetViews>
    <sheetView zoomScaleSheetLayoutView="11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29" sqref="I29"/>
    </sheetView>
  </sheetViews>
  <sheetFormatPr defaultColWidth="8.00390625" defaultRowHeight="12.75"/>
  <cols>
    <col min="1" max="1" width="3.25390625" style="1" customWidth="1"/>
    <col min="2" max="2" width="22.125" style="1" customWidth="1"/>
    <col min="3" max="7" width="10.875" style="1" customWidth="1"/>
    <col min="8" max="8" width="9.875" style="1" customWidth="1"/>
    <col min="9" max="9" width="12.125" style="1" customWidth="1"/>
    <col min="10" max="10" width="10.625" style="1" customWidth="1"/>
    <col min="11" max="11" width="10.125" style="1" customWidth="1"/>
    <col min="12" max="12" width="9.25390625" style="1" customWidth="1"/>
    <col min="13" max="14" width="9.00390625" style="1" customWidth="1"/>
    <col min="15" max="16384" width="8.00390625" style="1" customWidth="1"/>
  </cols>
  <sheetData>
    <row r="1" spans="3:8" ht="27" customHeight="1">
      <c r="C1" s="60" t="s">
        <v>74</v>
      </c>
      <c r="D1" s="60"/>
      <c r="E1" s="60"/>
      <c r="F1" s="60"/>
      <c r="G1" s="60"/>
      <c r="H1" s="60"/>
    </row>
    <row r="2" ht="12"/>
    <row r="3" spans="1:12" ht="30.75" customHeight="1">
      <c r="A3" s="71" t="s">
        <v>0</v>
      </c>
      <c r="B3" s="71" t="s">
        <v>1</v>
      </c>
      <c r="C3" s="73" t="s">
        <v>2</v>
      </c>
      <c r="D3" s="72" t="s">
        <v>47</v>
      </c>
      <c r="E3" s="67" t="s">
        <v>18</v>
      </c>
      <c r="F3" s="67" t="s">
        <v>14</v>
      </c>
      <c r="G3" s="67" t="s">
        <v>15</v>
      </c>
      <c r="H3" s="67" t="s">
        <v>17</v>
      </c>
      <c r="I3" s="61" t="s">
        <v>42</v>
      </c>
      <c r="J3" s="61" t="s">
        <v>40</v>
      </c>
      <c r="K3" s="67" t="s">
        <v>43</v>
      </c>
      <c r="L3" s="61" t="s">
        <v>41</v>
      </c>
    </row>
    <row r="4" spans="1:14" ht="90" customHeight="1">
      <c r="A4" s="71"/>
      <c r="B4" s="71"/>
      <c r="C4" s="73"/>
      <c r="D4" s="72"/>
      <c r="E4" s="68"/>
      <c r="F4" s="68"/>
      <c r="G4" s="68"/>
      <c r="H4" s="68"/>
      <c r="I4" s="61"/>
      <c r="J4" s="61"/>
      <c r="K4" s="68"/>
      <c r="L4" s="61"/>
      <c r="N4" s="48"/>
    </row>
    <row r="5" spans="1:12" s="5" customFormat="1" ht="12">
      <c r="A5" s="4"/>
      <c r="B5" s="4"/>
      <c r="C5" s="4"/>
      <c r="D5" s="4"/>
      <c r="E5" s="4"/>
      <c r="F5" s="4"/>
      <c r="G5" s="16">
        <v>0.8</v>
      </c>
      <c r="H5" s="16">
        <v>1368.7</v>
      </c>
      <c r="I5" s="4"/>
      <c r="J5" s="4"/>
      <c r="K5" s="4"/>
      <c r="L5" s="4"/>
    </row>
    <row r="6" spans="1:17" ht="12.75">
      <c r="A6" s="6">
        <v>1</v>
      </c>
      <c r="B6" s="7" t="s">
        <v>48</v>
      </c>
      <c r="C6" s="49">
        <v>9407</v>
      </c>
      <c r="D6" s="28">
        <f>'ИНП 2021'!X6</f>
        <v>0.86654391049873</v>
      </c>
      <c r="E6" s="28">
        <f>'ИБР 2021'!Y6</f>
        <v>0.7852288272789907</v>
      </c>
      <c r="F6" s="36">
        <f>IF(E6&lt;&gt;0,D6/E6,0)</f>
        <v>1.103555906755889</v>
      </c>
      <c r="G6" s="17">
        <f aca="true" t="shared" si="0" ref="G6:G15">IF(F6&lt;$G$5,($G$5-F6)*E6*$G$18*C6/$C$16,0)</f>
        <v>0</v>
      </c>
      <c r="H6" s="17">
        <f aca="true" t="shared" si="1" ref="H6:H16">IF($G$16&lt;&gt;0,ROUND(G6/$G$16*$H$5,1),0)</f>
        <v>0</v>
      </c>
      <c r="I6" s="47">
        <f>19031.3+M6</f>
        <v>19561</v>
      </c>
      <c r="J6" s="40">
        <f>I6+H6</f>
        <v>19561</v>
      </c>
      <c r="K6" s="41">
        <f>35737.4-9000</f>
        <v>26737.4</v>
      </c>
      <c r="L6" s="40">
        <f>J6-K6</f>
        <v>-7176.4000000000015</v>
      </c>
      <c r="M6" s="45">
        <v>529.7</v>
      </c>
      <c r="N6" s="50"/>
      <c r="P6" s="55"/>
      <c r="Q6" s="44"/>
    </row>
    <row r="7" spans="1:17" ht="14.25">
      <c r="A7" s="6">
        <v>2</v>
      </c>
      <c r="B7" s="7" t="s">
        <v>49</v>
      </c>
      <c r="C7" s="49">
        <v>5336</v>
      </c>
      <c r="D7" s="28">
        <f>'ИНП 2021'!X7</f>
        <v>0.8173822799097684</v>
      </c>
      <c r="E7" s="28">
        <f>'ИБР 2021'!Y7</f>
        <v>0.9285564083956013</v>
      </c>
      <c r="F7" s="36">
        <f aca="true" t="shared" si="2" ref="F7:F16">IF(E7&lt;&gt;0,D7/E7,0)</f>
        <v>0.8802720788089501</v>
      </c>
      <c r="G7" s="17">
        <f t="shared" si="0"/>
        <v>0</v>
      </c>
      <c r="H7" s="17">
        <f t="shared" si="1"/>
        <v>0</v>
      </c>
      <c r="I7" s="47">
        <f>9759.2+M7</f>
        <v>10059.6</v>
      </c>
      <c r="J7" s="40">
        <f aca="true" t="shared" si="3" ref="J7:J16">I7+H7</f>
        <v>10059.6</v>
      </c>
      <c r="K7" s="41">
        <v>8060.4</v>
      </c>
      <c r="L7" s="40">
        <f aca="true" t="shared" si="4" ref="L7:L16">J7-K7</f>
        <v>1999.2000000000007</v>
      </c>
      <c r="M7" s="45">
        <v>300.4</v>
      </c>
      <c r="N7" s="51"/>
      <c r="P7" s="55"/>
      <c r="Q7" s="44"/>
    </row>
    <row r="8" spans="1:17" ht="14.25">
      <c r="A8" s="6">
        <v>3</v>
      </c>
      <c r="B8" s="7" t="s">
        <v>50</v>
      </c>
      <c r="C8" s="49">
        <v>2523</v>
      </c>
      <c r="D8" s="28">
        <f>'ИНП 2021'!X8</f>
        <v>1.1330795295296472</v>
      </c>
      <c r="E8" s="28">
        <f>'ИБР 2021'!Y8</f>
        <v>0.9840376403878504</v>
      </c>
      <c r="F8" s="36">
        <f t="shared" si="2"/>
        <v>1.151459540798717</v>
      </c>
      <c r="G8" s="17">
        <f t="shared" si="0"/>
        <v>0</v>
      </c>
      <c r="H8" s="17">
        <f t="shared" si="1"/>
        <v>0</v>
      </c>
      <c r="I8" s="47">
        <f>5391.5+M8</f>
        <v>5533.5</v>
      </c>
      <c r="J8" s="40">
        <f t="shared" si="3"/>
        <v>5533.5</v>
      </c>
      <c r="K8" s="41">
        <v>4090.8</v>
      </c>
      <c r="L8" s="40">
        <f t="shared" si="4"/>
        <v>1442.6999999999998</v>
      </c>
      <c r="M8" s="45">
        <v>142</v>
      </c>
      <c r="N8" s="51"/>
      <c r="P8" s="55"/>
      <c r="Q8" s="44"/>
    </row>
    <row r="9" spans="1:17" ht="14.25">
      <c r="A9" s="6">
        <v>4</v>
      </c>
      <c r="B9" s="7" t="s">
        <v>51</v>
      </c>
      <c r="C9" s="49">
        <v>775</v>
      </c>
      <c r="D9" s="28">
        <f>'ИНП 2021'!X9</f>
        <v>2.1156654940559356</v>
      </c>
      <c r="E9" s="28">
        <f>'ИБР 2021'!Y9</f>
        <v>1.9213578097835478</v>
      </c>
      <c r="F9" s="36">
        <f t="shared" si="2"/>
        <v>1.101130400221642</v>
      </c>
      <c r="G9" s="17">
        <f t="shared" si="0"/>
        <v>0</v>
      </c>
      <c r="H9" s="17">
        <f t="shared" si="1"/>
        <v>0</v>
      </c>
      <c r="I9" s="47">
        <f>3199.2+M9</f>
        <v>3242.7999999999997</v>
      </c>
      <c r="J9" s="40">
        <f t="shared" si="3"/>
        <v>3242.7999999999997</v>
      </c>
      <c r="K9" s="41">
        <v>2945.7</v>
      </c>
      <c r="L9" s="40">
        <f t="shared" si="4"/>
        <v>297.0999999999999</v>
      </c>
      <c r="M9" s="45">
        <v>43.6</v>
      </c>
      <c r="N9" s="51"/>
      <c r="P9" s="55"/>
      <c r="Q9" s="44"/>
    </row>
    <row r="10" spans="1:17" ht="14.25">
      <c r="A10" s="6">
        <v>5</v>
      </c>
      <c r="B10" s="7" t="s">
        <v>52</v>
      </c>
      <c r="C10" s="49">
        <v>2072</v>
      </c>
      <c r="D10" s="28">
        <f>'ИНП 2021'!X10</f>
        <v>1.1962612409496012</v>
      </c>
      <c r="E10" s="28">
        <f>'ИБР 2021'!Y10</f>
        <v>1.1025993089999497</v>
      </c>
      <c r="F10" s="36">
        <f t="shared" si="2"/>
        <v>1.0849464816322099</v>
      </c>
      <c r="G10" s="17">
        <f t="shared" si="0"/>
        <v>0</v>
      </c>
      <c r="H10" s="17">
        <f t="shared" si="1"/>
        <v>0</v>
      </c>
      <c r="I10" s="47">
        <f>4611.8+M10</f>
        <v>4728.5</v>
      </c>
      <c r="J10" s="40">
        <f t="shared" si="3"/>
        <v>4728.5</v>
      </c>
      <c r="K10" s="41">
        <v>4829.8</v>
      </c>
      <c r="L10" s="40">
        <f t="shared" si="4"/>
        <v>-101.30000000000018</v>
      </c>
      <c r="M10" s="45">
        <v>116.7</v>
      </c>
      <c r="N10" s="51"/>
      <c r="P10" s="55"/>
      <c r="Q10" s="44"/>
    </row>
    <row r="11" spans="1:17" ht="14.25">
      <c r="A11" s="6">
        <v>6</v>
      </c>
      <c r="B11" s="7" t="s">
        <v>53</v>
      </c>
      <c r="C11" s="49">
        <v>1865</v>
      </c>
      <c r="D11" s="28">
        <f>'ИНП 2021'!X11</f>
        <v>1.4109461204278362</v>
      </c>
      <c r="E11" s="28">
        <f>'ИБР 2021'!Y11</f>
        <v>1.0852860453815403</v>
      </c>
      <c r="F11" s="36">
        <f t="shared" si="2"/>
        <v>1.3000684256764838</v>
      </c>
      <c r="G11" s="17">
        <f t="shared" si="0"/>
        <v>0</v>
      </c>
      <c r="H11" s="17">
        <f t="shared" si="1"/>
        <v>0</v>
      </c>
      <c r="I11" s="47">
        <f>4974.6+M11</f>
        <v>5079.6</v>
      </c>
      <c r="J11" s="40">
        <f t="shared" si="3"/>
        <v>5079.6</v>
      </c>
      <c r="K11" s="41">
        <v>4052.4</v>
      </c>
      <c r="L11" s="40">
        <f t="shared" si="4"/>
        <v>1027.2000000000003</v>
      </c>
      <c r="M11" s="45">
        <v>105</v>
      </c>
      <c r="N11" s="51"/>
      <c r="P11" s="55"/>
      <c r="Q11" s="44"/>
    </row>
    <row r="12" spans="1:17" ht="14.25">
      <c r="A12" s="6">
        <v>7</v>
      </c>
      <c r="B12" s="7" t="s">
        <v>54</v>
      </c>
      <c r="C12" s="49">
        <v>926</v>
      </c>
      <c r="D12" s="28">
        <v>1.243</v>
      </c>
      <c r="E12" s="28">
        <f>'ИБР 2021'!Y12</f>
        <v>1.4695055338136072</v>
      </c>
      <c r="F12" s="36">
        <f t="shared" si="2"/>
        <v>0.8458627554632012</v>
      </c>
      <c r="G12" s="17">
        <f t="shared" si="0"/>
        <v>0</v>
      </c>
      <c r="H12" s="17">
        <f t="shared" si="1"/>
        <v>0</v>
      </c>
      <c r="I12" s="47">
        <f>2035.9+M12</f>
        <v>2088</v>
      </c>
      <c r="J12" s="40">
        <f t="shared" si="3"/>
        <v>2088</v>
      </c>
      <c r="K12" s="41">
        <v>2436.3</v>
      </c>
      <c r="L12" s="40">
        <f t="shared" si="4"/>
        <v>-348.3000000000002</v>
      </c>
      <c r="M12" s="45">
        <v>52.1</v>
      </c>
      <c r="N12" s="51"/>
      <c r="P12" s="55"/>
      <c r="Q12" s="44"/>
    </row>
    <row r="13" spans="1:17" ht="14.25">
      <c r="A13" s="6">
        <v>8</v>
      </c>
      <c r="B13" s="7" t="s">
        <v>55</v>
      </c>
      <c r="C13" s="49">
        <v>2023</v>
      </c>
      <c r="D13" s="28">
        <f>'ИНП 2021'!X13</f>
        <v>1.214277426717524</v>
      </c>
      <c r="E13" s="28">
        <f>'ИБР 2021'!Y13</f>
        <v>1.0360673568896481</v>
      </c>
      <c r="F13" s="36">
        <f t="shared" si="2"/>
        <v>1.1720062587078082</v>
      </c>
      <c r="G13" s="17">
        <f t="shared" si="0"/>
        <v>0</v>
      </c>
      <c r="H13" s="17">
        <f t="shared" si="1"/>
        <v>0</v>
      </c>
      <c r="I13" s="47">
        <f>4687.1+M13</f>
        <v>4801</v>
      </c>
      <c r="J13" s="40">
        <f t="shared" si="3"/>
        <v>4801</v>
      </c>
      <c r="K13" s="41">
        <v>4549.2</v>
      </c>
      <c r="L13" s="40">
        <f t="shared" si="4"/>
        <v>251.80000000000018</v>
      </c>
      <c r="M13" s="45">
        <v>113.9</v>
      </c>
      <c r="N13" s="51"/>
      <c r="P13" s="55"/>
      <c r="Q13" s="44"/>
    </row>
    <row r="14" spans="1:17" ht="14.25">
      <c r="A14" s="6">
        <v>9</v>
      </c>
      <c r="B14" s="7" t="s">
        <v>56</v>
      </c>
      <c r="C14" s="49">
        <v>723</v>
      </c>
      <c r="D14" s="28">
        <v>0.825</v>
      </c>
      <c r="E14" s="28">
        <f>'ИБР 2021'!Y14</f>
        <v>1.7891143773129259</v>
      </c>
      <c r="F14" s="36">
        <f t="shared" si="2"/>
        <v>0.46112200005852555</v>
      </c>
      <c r="G14" s="17">
        <f t="shared" si="0"/>
        <v>916.421330588812</v>
      </c>
      <c r="H14" s="17">
        <f t="shared" si="1"/>
        <v>916.4</v>
      </c>
      <c r="I14" s="47">
        <f>1150.5+M14</f>
        <v>1191.2</v>
      </c>
      <c r="J14" s="40">
        <f t="shared" si="3"/>
        <v>2107.6</v>
      </c>
      <c r="K14" s="41">
        <v>1921.4</v>
      </c>
      <c r="L14" s="40">
        <f t="shared" si="4"/>
        <v>186.19999999999982</v>
      </c>
      <c r="M14" s="45">
        <v>40.7</v>
      </c>
      <c r="N14" s="51"/>
      <c r="P14" s="55"/>
      <c r="Q14" s="44"/>
    </row>
    <row r="15" spans="1:17" ht="14.25">
      <c r="A15" s="6">
        <v>10</v>
      </c>
      <c r="B15" s="7" t="s">
        <v>57</v>
      </c>
      <c r="C15" s="49">
        <v>1977</v>
      </c>
      <c r="D15" s="28">
        <f>'ИНП 2021'!X15</f>
        <v>0.8030209239074789</v>
      </c>
      <c r="E15" s="28">
        <f>'ИБР 2021'!Y15</f>
        <v>1.1405644068416476</v>
      </c>
      <c r="F15" s="36">
        <f t="shared" si="2"/>
        <v>0.7040557456383678</v>
      </c>
      <c r="G15" s="17">
        <f t="shared" si="0"/>
        <v>452.2940420964727</v>
      </c>
      <c r="H15" s="17">
        <f t="shared" si="1"/>
        <v>452.3</v>
      </c>
      <c r="I15" s="47">
        <f>2916.5+M15</f>
        <v>3027.8</v>
      </c>
      <c r="J15" s="40">
        <f t="shared" si="3"/>
        <v>3480.1000000000004</v>
      </c>
      <c r="K15" s="41">
        <v>2827.5</v>
      </c>
      <c r="L15" s="40">
        <f t="shared" si="4"/>
        <v>652.6000000000004</v>
      </c>
      <c r="M15" s="45">
        <v>111.3</v>
      </c>
      <c r="N15" s="51"/>
      <c r="P15" s="55"/>
      <c r="Q15" s="44"/>
    </row>
    <row r="16" spans="1:17" ht="14.25">
      <c r="A16" s="12"/>
      <c r="B16" s="13" t="s">
        <v>11</v>
      </c>
      <c r="C16" s="43">
        <f>SUM(C6:C15)</f>
        <v>27627</v>
      </c>
      <c r="D16" s="37">
        <f>'ИНП 2021'!X16</f>
        <v>1</v>
      </c>
      <c r="E16" s="37">
        <f>'ИБР 2021'!Y16</f>
        <v>1</v>
      </c>
      <c r="F16" s="38">
        <f t="shared" si="2"/>
        <v>1</v>
      </c>
      <c r="G16" s="39">
        <f>SUM(G6:G15)</f>
        <v>1368.7153726852848</v>
      </c>
      <c r="H16" s="39">
        <f t="shared" si="1"/>
        <v>1368.7</v>
      </c>
      <c r="I16" s="39">
        <f>I6+I7+I8+I9+I10+I11+I12+I13+I14+I15</f>
        <v>59313</v>
      </c>
      <c r="J16" s="39">
        <f t="shared" si="3"/>
        <v>60681.7</v>
      </c>
      <c r="K16" s="39">
        <f>SUM(K6:K15)</f>
        <v>62450.90000000001</v>
      </c>
      <c r="L16" s="39">
        <f t="shared" si="4"/>
        <v>-1769.2000000000116</v>
      </c>
      <c r="M16" s="58">
        <f>SUM(M6:M15)</f>
        <v>1555.4</v>
      </c>
      <c r="N16" s="51"/>
      <c r="P16" s="55"/>
      <c r="Q16" s="44"/>
    </row>
    <row r="17" spans="8:14" ht="14.25">
      <c r="H17" s="44"/>
      <c r="I17" s="44"/>
      <c r="N17" s="52"/>
    </row>
    <row r="18" spans="6:17" ht="14.25">
      <c r="F18" s="18" t="s">
        <v>16</v>
      </c>
      <c r="G18" s="9">
        <v>57757.6</v>
      </c>
      <c r="I18" s="44"/>
      <c r="L18" s="44"/>
      <c r="N18" s="52"/>
      <c r="Q18" s="44"/>
    </row>
    <row r="19" spans="12:14" ht="14.25">
      <c r="L19" s="44"/>
      <c r="N19" s="51"/>
    </row>
    <row r="20" ht="11.25">
      <c r="G20" s="44"/>
    </row>
    <row r="21" ht="11.25">
      <c r="G21" s="44"/>
    </row>
  </sheetData>
  <sheetProtection/>
  <mergeCells count="13">
    <mergeCell ref="F3:F4"/>
    <mergeCell ref="G3:G4"/>
    <mergeCell ref="H3:H4"/>
    <mergeCell ref="I3:I4"/>
    <mergeCell ref="J3:J4"/>
    <mergeCell ref="K3:K4"/>
    <mergeCell ref="L3:L4"/>
    <mergeCell ref="C1:H1"/>
    <mergeCell ref="A3:A4"/>
    <mergeCell ref="B3:B4"/>
    <mergeCell ref="C3:C4"/>
    <mergeCell ref="D3:D4"/>
    <mergeCell ref="E3:E4"/>
  </mergeCells>
  <printOptions horizontalCentered="1" verticalCentered="1"/>
  <pageMargins left="0.31496062992125984" right="0.1968503937007874" top="0.1968503937007874" bottom="0.1968503937007874" header="0.15748031496062992" footer="0.15748031496062992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</dc:creator>
  <cp:keywords/>
  <dc:description/>
  <cp:lastModifiedBy>varvarina</cp:lastModifiedBy>
  <cp:lastPrinted>2020-11-10T07:43:29Z</cp:lastPrinted>
  <dcterms:created xsi:type="dcterms:W3CDTF">2008-12-18T12:36:24Z</dcterms:created>
  <dcterms:modified xsi:type="dcterms:W3CDTF">2020-11-12T07:21:32Z</dcterms:modified>
  <cp:category/>
  <cp:version/>
  <cp:contentType/>
  <cp:contentStatus/>
</cp:coreProperties>
</file>