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425" activeTab="6"/>
  </bookViews>
  <sheets>
    <sheet name="ИБР 2022" sheetId="1" r:id="rId1"/>
    <sheet name="ИНП 2022" sheetId="2" r:id="rId2"/>
    <sheet name="Дот2022" sheetId="3" r:id="rId3"/>
    <sheet name="ИБР 2023" sheetId="4" r:id="rId4"/>
    <sheet name="ИНП 2023" sheetId="5" r:id="rId5"/>
    <sheet name="Дот2023" sheetId="6" r:id="rId6"/>
    <sheet name="ИБР 2024" sheetId="7" r:id="rId7"/>
    <sheet name="ИНП 2024" sheetId="8" r:id="rId8"/>
    <sheet name="Дот2024" sheetId="9" r:id="rId9"/>
    <sheet name="Лист1" sheetId="10" r:id="rId10"/>
  </sheets>
  <externalReferences>
    <externalReference r:id="rId13"/>
    <externalReference r:id="rId14"/>
  </externalReferences>
  <definedNames>
    <definedName name="lst2">'[1]rr'!$D$5:$E$46</definedName>
    <definedName name="vb">'[1]rr'!$D$3</definedName>
    <definedName name="_xlnm.Print_Titles" localSheetId="2">'Дот2022'!$A:$B</definedName>
    <definedName name="_xlnm.Print_Titles" localSheetId="5">'Дот2023'!$A:$B</definedName>
    <definedName name="_xlnm.Print_Titles" localSheetId="8">'Дот2024'!$A:$B</definedName>
    <definedName name="_xlnm.Print_Titles" localSheetId="0">'ИБР 2022'!$A:$B</definedName>
    <definedName name="_xlnm.Print_Titles" localSheetId="3">'ИБР 2023'!$A:$B</definedName>
    <definedName name="_xlnm.Print_Titles" localSheetId="6">'ИБР 2024'!$A:$B</definedName>
    <definedName name="_xlnm.Print_Titles" localSheetId="1">'ИНП 2022'!$A:$B</definedName>
    <definedName name="_xlnm.Print_Titles" localSheetId="4">'ИНП 2023'!$A:$B</definedName>
    <definedName name="_xlnm.Print_Titles" localSheetId="7">'ИНП 2024'!$A:$B</definedName>
    <definedName name="_xlnm.Print_Area" localSheetId="2">'Дот2022'!$A$1:$H$16</definedName>
    <definedName name="_xlnm.Print_Area" localSheetId="5">'Дот2023'!$A$1:$H$16</definedName>
    <definedName name="_xlnm.Print_Area" localSheetId="8">'Дот2024'!$A$1:$H$16</definedName>
    <definedName name="_xlnm.Print_Area" localSheetId="0">'ИБР 2022'!$A$1:$Y$16</definedName>
    <definedName name="_xlnm.Print_Area" localSheetId="3">'ИБР 2023'!$A$1:$Y$16</definedName>
    <definedName name="_xlnm.Print_Area" localSheetId="6">'ИБР 2024'!$A$1:$Y$16</definedName>
    <definedName name="_xlnm.Print_Area" localSheetId="1">'ИНП 2022'!$A$1:$X$16</definedName>
    <definedName name="_xlnm.Print_Area" localSheetId="4">'ИНП 2023'!$A$1:$X$16</definedName>
    <definedName name="_xlnm.Print_Area" localSheetId="7">'ИНП 2024'!$A$1:$X$16</definedName>
  </definedNames>
  <calcPr fullCalcOnLoad="1"/>
</workbook>
</file>

<file path=xl/comments3.xml><?xml version="1.0" encoding="utf-8"?>
<comments xmlns="http://schemas.openxmlformats.org/spreadsheetml/2006/main">
  <authors>
    <author>МФ</author>
  </authors>
  <commentList>
    <comment ref="G5" authorId="0">
      <text>
        <r>
          <rPr>
            <sz val="8"/>
            <rFont val="Tahoma"/>
            <family val="2"/>
          </rPr>
          <t>Занесите в ячейку уровень, выбранный в качестве критерия выравнивания (например, 1 или 0,85, или 1,15 или любой другой )</t>
        </r>
      </text>
    </comment>
    <comment ref="G18" authorId="0">
      <text>
        <r>
          <rPr>
            <b/>
            <sz val="8"/>
            <rFont val="Tahoma"/>
            <family val="2"/>
          </rPr>
          <t>З</t>
        </r>
        <r>
          <rPr>
            <sz val="8"/>
            <rFont val="Tahoma"/>
            <family val="2"/>
          </rPr>
          <t>анесите в ячейку прогнозный объем налоговых и неналоговых доходов поселений</t>
        </r>
      </text>
    </comment>
    <comment ref="H5" authorId="0">
      <text>
        <r>
          <rPr>
            <sz val="8"/>
            <rFont val="Tahoma"/>
            <family val="2"/>
          </rPr>
          <t>Занесите в ячейку общую сумму распределяемых дотаций</t>
        </r>
      </text>
    </comment>
  </commentList>
</comments>
</file>

<file path=xl/comments6.xml><?xml version="1.0" encoding="utf-8"?>
<comments xmlns="http://schemas.openxmlformats.org/spreadsheetml/2006/main">
  <authors>
    <author>МФ</author>
  </authors>
  <commentList>
    <comment ref="G5" authorId="0">
      <text>
        <r>
          <rPr>
            <sz val="8"/>
            <rFont val="Tahoma"/>
            <family val="2"/>
          </rPr>
          <t>Занесите в ячейку уровень, выбранный в качестве критерия выравнивания (например, 1 или 0,85, или 1,15 или любой другой )</t>
        </r>
      </text>
    </comment>
    <comment ref="H5" authorId="0">
      <text>
        <r>
          <rPr>
            <sz val="8"/>
            <rFont val="Tahoma"/>
            <family val="2"/>
          </rPr>
          <t>Занесите в ячейку общую сумму распределяемых дотаций</t>
        </r>
      </text>
    </comment>
    <comment ref="G18" authorId="0">
      <text>
        <r>
          <rPr>
            <b/>
            <sz val="8"/>
            <rFont val="Tahoma"/>
            <family val="2"/>
          </rPr>
          <t>З</t>
        </r>
        <r>
          <rPr>
            <sz val="8"/>
            <rFont val="Tahoma"/>
            <family val="2"/>
          </rPr>
          <t>анесите в ячейку прогнозный объем налоговых и неналоговых доходов поселений</t>
        </r>
      </text>
    </comment>
  </commentList>
</comments>
</file>

<file path=xl/comments9.xml><?xml version="1.0" encoding="utf-8"?>
<comments xmlns="http://schemas.openxmlformats.org/spreadsheetml/2006/main">
  <authors>
    <author>МФ</author>
  </authors>
  <commentList>
    <comment ref="G5" authorId="0">
      <text>
        <r>
          <rPr>
            <sz val="8"/>
            <rFont val="Tahoma"/>
            <family val="2"/>
          </rPr>
          <t>Занесите в ячейку уровень, выбранный в качестве критерия выравнивания (например, 1 или 0,85, или 1,15 или любой другой )</t>
        </r>
      </text>
    </comment>
    <comment ref="H5" authorId="0">
      <text>
        <r>
          <rPr>
            <sz val="8"/>
            <rFont val="Tahoma"/>
            <family val="2"/>
          </rPr>
          <t>Занесите в ячейку общую сумму распределяемых дотаций</t>
        </r>
      </text>
    </comment>
    <comment ref="G18" authorId="0">
      <text>
        <r>
          <rPr>
            <b/>
            <sz val="8"/>
            <rFont val="Tahoma"/>
            <family val="2"/>
          </rPr>
          <t>З</t>
        </r>
        <r>
          <rPr>
            <sz val="8"/>
            <rFont val="Tahoma"/>
            <family val="2"/>
          </rPr>
          <t>анесите в ячейку прогнозный объем налоговых и неналоговых доходов поселений</t>
        </r>
      </text>
    </comment>
  </commentList>
</comments>
</file>

<file path=xl/sharedStrings.xml><?xml version="1.0" encoding="utf-8"?>
<sst xmlns="http://schemas.openxmlformats.org/spreadsheetml/2006/main" count="426" uniqueCount="76">
  <si>
    <t>№</t>
  </si>
  <si>
    <t>Поселения</t>
  </si>
  <si>
    <t>Числен-ность постоян-ного населения, чел</t>
  </si>
  <si>
    <t>НДФЛ</t>
  </si>
  <si>
    <t>Налог на имущество физлиц</t>
  </si>
  <si>
    <t>Земельный налог</t>
  </si>
  <si>
    <t>Единый сельхозналог</t>
  </si>
  <si>
    <t>Суммарный налоговый потенциал поселений</t>
  </si>
  <si>
    <t>База налого-обложения (ФОТ)</t>
  </si>
  <si>
    <t>Расчетная ставка</t>
  </si>
  <si>
    <t>Х</t>
  </si>
  <si>
    <t>ИТОГО</t>
  </si>
  <si>
    <t>База налого-обложения</t>
  </si>
  <si>
    <t>Сводный индекс бюджет-ных расходов</t>
  </si>
  <si>
    <t>Бюджетная обеспе-ченность</t>
  </si>
  <si>
    <t>Потреб-ность в средствах для вырав-нивания</t>
  </si>
  <si>
    <t>Прогноз налоговых и неналоговых доходов поселений</t>
  </si>
  <si>
    <t>Расчетный объем дотации на вырав-нивание</t>
  </si>
  <si>
    <t>Индекс бюджетных расходов</t>
  </si>
  <si>
    <t>тыс. руб.</t>
  </si>
  <si>
    <t>в том числе:</t>
  </si>
  <si>
    <t>В насе-ленных пунктах с числен-ностью менее 500 чел.</t>
  </si>
  <si>
    <t>Тарифы на ЖКУ</t>
  </si>
  <si>
    <t>Коэффициенты</t>
  </si>
  <si>
    <t>Условные потребители</t>
  </si>
  <si>
    <t>Отраслевые индексы бюджетных расходов</t>
  </si>
  <si>
    <t>город-ское</t>
  </si>
  <si>
    <t>стоимость тепла за 1 Гкал в месяц, руб</t>
  </si>
  <si>
    <t>стоимость 1 куб.м воды в месяц, руб.</t>
  </si>
  <si>
    <t>Лимиты потребления тепла</t>
  </si>
  <si>
    <t>Затраты на тепло</t>
  </si>
  <si>
    <t>масштаба</t>
  </si>
  <si>
    <t>дисперс-ности расселе-ния</t>
  </si>
  <si>
    <t>уровня урбаниза-ции</t>
  </si>
  <si>
    <t>стоимо-сти комму-нальных услуг</t>
  </si>
  <si>
    <t>Местное самоупра-вление</t>
  </si>
  <si>
    <t>Коммунальное хозяйство</t>
  </si>
  <si>
    <t>Дорожное хозяйство</t>
  </si>
  <si>
    <t>Культура</t>
  </si>
  <si>
    <t>Прочие расходы</t>
  </si>
  <si>
    <t>Прогноз доходов всего (с учетом дотации на выравнивание)</t>
  </si>
  <si>
    <t>Разрыв</t>
  </si>
  <si>
    <t>Прогноз доходов поселений (налоговые, неналоговые, дотация за счет субвенций из областного бюжета)</t>
  </si>
  <si>
    <t>Прогноз расходов поселений</t>
  </si>
  <si>
    <t>Дотация бюджетам поселений за счет субвенций из областного бюджета</t>
  </si>
  <si>
    <t>Доходный потенциал поселений</t>
  </si>
  <si>
    <t>Доходный потенциал на 1 жителя</t>
  </si>
  <si>
    <t>Индекс доходного потенциала</t>
  </si>
  <si>
    <t>Б.Карабулакское МО</t>
  </si>
  <si>
    <t>Свободинское МО</t>
  </si>
  <si>
    <t>Алексеевское МО</t>
  </si>
  <si>
    <t>Большечечуйское МО</t>
  </si>
  <si>
    <t>Липовское МО</t>
  </si>
  <si>
    <t>Максимовское МО</t>
  </si>
  <si>
    <t>Старобурасское МО</t>
  </si>
  <si>
    <t>Старожуковское МО</t>
  </si>
  <si>
    <t>Шняевсое МО</t>
  </si>
  <si>
    <t>Яковлевское МО</t>
  </si>
  <si>
    <t>Расчет индекса бюджетных расходов на 2022 год</t>
  </si>
  <si>
    <t>Прогноз налога на 2020 год в консолиди-рованный бюджет района</t>
  </si>
  <si>
    <t>Прогноз налога на 2020 год, 100%</t>
  </si>
  <si>
    <t>Прогноз налога на 2020 год в доле поселений</t>
  </si>
  <si>
    <t>Прогноз налога на 2021 год в консолиди-рованный бюджет района</t>
  </si>
  <si>
    <t>Прогноз налога на 2021 год, 100%</t>
  </si>
  <si>
    <t>Прогноз налога на 2021 год в доле поселений</t>
  </si>
  <si>
    <t>Прогноз налога на 2022 год в консолиди-рованный бюджет района</t>
  </si>
  <si>
    <t>Прогноз налога на 2022 год, 100%</t>
  </si>
  <si>
    <t>Прогноз налога на 2022 год в доле поселений</t>
  </si>
  <si>
    <t>Расчет индекса налогового потенциала на 2023 год</t>
  </si>
  <si>
    <t>Расчет дотации на выравнивание на 2023 год</t>
  </si>
  <si>
    <t>Расчет индекса бюджетных расходов на 2023 год</t>
  </si>
  <si>
    <t>Расчет дотации на выравнивание на 2022год</t>
  </si>
  <si>
    <t>Расчет индекса налогового потенциала на 2024 год</t>
  </si>
  <si>
    <t>Расчет индекса налогового потенциала на 2022год</t>
  </si>
  <si>
    <t>Расчет дотации на выравнивание на 2024 год</t>
  </si>
  <si>
    <t>Расчет индекса бюджетных расходов на 2024 год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</si>
</sst>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_ ;[Red]\-#,##0\ "/>
    <numFmt numFmtId="174" formatCode="#,##0.0_ ;[Red]\-#,##0.0\ "/>
    <numFmt numFmtId="175" formatCode="0.000"/>
    <numFmt numFmtId="176" formatCode="#,##0.00_ ;[Red]\-#,##0.00\ "/>
    <numFmt numFmtId="177" formatCode="#,##0.0"/>
    <numFmt numFmtId="178" formatCode="0.0000"/>
    <numFmt numFmtId="179" formatCode="#,##0.000"/>
    <numFmt numFmtId="180" formatCode="0.000000"/>
    <numFmt numFmtId="181" formatCode="0.00000"/>
    <numFmt numFmtId="182" formatCode="#,##0.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%"/>
    <numFmt numFmtId="188" formatCode="#,##0.0000"/>
    <numFmt numFmtId="189" formatCode="#,##0.00000"/>
    <numFmt numFmtId="190" formatCode="0.000%"/>
    <numFmt numFmtId="191" formatCode="0.0000%"/>
    <numFmt numFmtId="192" formatCode="0.00000%"/>
    <numFmt numFmtId="193" formatCode="0.0000000"/>
    <numFmt numFmtId="194" formatCode="0.00000000"/>
    <numFmt numFmtId="195" formatCode="0.000000000"/>
    <numFmt numFmtId="196" formatCode="0.0000000000"/>
    <numFmt numFmtId="197" formatCode="##,###,###,###,###,###,###"/>
    <numFmt numFmtId="198" formatCode="0.0000E+00"/>
    <numFmt numFmtId="199" formatCode="0.00000E+00"/>
    <numFmt numFmtId="200" formatCode="0.000000E+00"/>
    <numFmt numFmtId="201" formatCode="0.0000000E+00"/>
    <numFmt numFmtId="202" formatCode="#,##0.0;[Red]#,##0.0"/>
    <numFmt numFmtId="203" formatCode="#,##0.0_);\(#,##0.0\)"/>
    <numFmt numFmtId="204" formatCode="[$-FC19]d\ mmmm\ yyyy\ &quot;г.&quot;"/>
    <numFmt numFmtId="205" formatCode="#,##0.000_ ;[Red]\-#,##0.000\ "/>
    <numFmt numFmtId="206" formatCode="#,##0.0000_ ;[Red]\-#,##0.0000\ "/>
    <numFmt numFmtId="207" formatCode="#,##0.00000_ ;[Red]\-#,##0.00000\ "/>
    <numFmt numFmtId="208" formatCode="#,##0.000000_ ;[Red]\-#,##0.000000\ "/>
    <numFmt numFmtId="209" formatCode="#,##0.0000000_ ;[Red]\-#,##0.0000000\ "/>
    <numFmt numFmtId="210" formatCode="#,##0.00000000_ ;[Red]\-#,##0.00000000\ "/>
    <numFmt numFmtId="211" formatCode="#,##0.000000000_ ;[Red]\-#,##0.000000000\ "/>
    <numFmt numFmtId="212" formatCode="#,##0.0000000000_ ;[Red]\-#,##0.0000000000\ "/>
    <numFmt numFmtId="213" formatCode="0.00000000000"/>
  </numFmts>
  <fonts count="47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57">
      <alignment/>
      <protection/>
    </xf>
    <xf numFmtId="0" fontId="6" fillId="0" borderId="0" xfId="55" applyFont="1" applyAlignment="1">
      <alignment wrapText="1"/>
      <protection/>
    </xf>
    <xf numFmtId="0" fontId="3" fillId="0" borderId="10" xfId="56" applyFill="1" applyBorder="1" applyAlignment="1">
      <alignment horizontal="center" vertical="top" wrapText="1"/>
      <protection/>
    </xf>
    <xf numFmtId="0" fontId="3" fillId="33" borderId="10" xfId="57" applyFill="1" applyBorder="1">
      <alignment/>
      <protection/>
    </xf>
    <xf numFmtId="0" fontId="3" fillId="33" borderId="0" xfId="57" applyFill="1">
      <alignment/>
      <protection/>
    </xf>
    <xf numFmtId="0" fontId="5" fillId="0" borderId="10" xfId="0" applyFont="1" applyFill="1" applyBorder="1" applyAlignment="1">
      <alignment/>
    </xf>
    <xf numFmtId="0" fontId="5" fillId="0" borderId="10" xfId="33" applyFont="1" applyFill="1" applyBorder="1">
      <alignment/>
      <protection/>
    </xf>
    <xf numFmtId="3" fontId="5" fillId="34" borderId="10" xfId="55" applyNumberFormat="1" applyFont="1" applyFill="1" applyBorder="1">
      <alignment/>
      <protection/>
    </xf>
    <xf numFmtId="177" fontId="5" fillId="34" borderId="10" xfId="33" applyNumberFormat="1" applyFont="1" applyFill="1" applyBorder="1">
      <alignment/>
      <protection/>
    </xf>
    <xf numFmtId="177" fontId="5" fillId="35" borderId="10" xfId="33" applyNumberFormat="1" applyFont="1" applyFill="1" applyBorder="1" applyAlignment="1">
      <alignment horizontal="center"/>
      <protection/>
    </xf>
    <xf numFmtId="177" fontId="5" fillId="0" borderId="10" xfId="33" applyNumberFormat="1" applyFont="1" applyFill="1" applyBorder="1">
      <alignment/>
      <protection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177" fontId="6" fillId="0" borderId="10" xfId="0" applyNumberFormat="1" applyFont="1" applyBorder="1" applyAlignment="1">
      <alignment/>
    </xf>
    <xf numFmtId="0" fontId="8" fillId="0" borderId="11" xfId="57" applyFont="1" applyBorder="1" applyAlignment="1">
      <alignment horizontal="center" vertical="center" wrapText="1"/>
      <protection/>
    </xf>
    <xf numFmtId="0" fontId="3" fillId="34" borderId="10" xfId="57" applyFill="1" applyBorder="1">
      <alignment/>
      <protection/>
    </xf>
    <xf numFmtId="177" fontId="5" fillId="0" borderId="10" xfId="55" applyNumberFormat="1" applyFont="1" applyFill="1" applyBorder="1">
      <alignment/>
      <protection/>
    </xf>
    <xf numFmtId="0" fontId="3" fillId="0" borderId="0" xfId="57" applyAlignment="1">
      <alignment horizontal="right"/>
      <protection/>
    </xf>
    <xf numFmtId="0" fontId="5" fillId="0" borderId="0" xfId="55" applyFont="1">
      <alignment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2" xfId="57" applyFont="1" applyBorder="1" applyAlignment="1">
      <alignment horizontal="center" vertical="center" wrapText="1"/>
      <protection/>
    </xf>
    <xf numFmtId="0" fontId="8" fillId="36" borderId="10" xfId="57" applyFont="1" applyFill="1" applyBorder="1" applyAlignment="1">
      <alignment horizontal="center" vertical="center" wrapText="1"/>
      <protection/>
    </xf>
    <xf numFmtId="0" fontId="3" fillId="36" borderId="10" xfId="57" applyFill="1" applyBorder="1">
      <alignment/>
      <protection/>
    </xf>
    <xf numFmtId="10" fontId="3" fillId="34" borderId="10" xfId="62" applyNumberFormat="1" applyFont="1" applyFill="1" applyBorder="1" applyAlignment="1">
      <alignment/>
    </xf>
    <xf numFmtId="4" fontId="5" fillId="34" borderId="10" xfId="55" applyNumberFormat="1" applyFont="1" applyFill="1" applyBorder="1">
      <alignment/>
      <protection/>
    </xf>
    <xf numFmtId="3" fontId="5" fillId="36" borderId="10" xfId="55" applyNumberFormat="1" applyFont="1" applyFill="1" applyBorder="1">
      <alignment/>
      <protection/>
    </xf>
    <xf numFmtId="189" fontId="5" fillId="36" borderId="10" xfId="55" applyNumberFormat="1" applyFont="1" applyFill="1" applyBorder="1">
      <alignment/>
      <protection/>
    </xf>
    <xf numFmtId="179" fontId="5" fillId="0" borderId="10" xfId="55" applyNumberFormat="1" applyFont="1" applyFill="1" applyBorder="1">
      <alignment/>
      <protection/>
    </xf>
    <xf numFmtId="179" fontId="7" fillId="0" borderId="10" xfId="55" applyNumberFormat="1" applyFont="1" applyFill="1" applyBorder="1">
      <alignment/>
      <protection/>
    </xf>
    <xf numFmtId="3" fontId="8" fillId="0" borderId="10" xfId="57" applyNumberFormat="1" applyFont="1" applyFill="1" applyBorder="1">
      <alignment/>
      <protection/>
    </xf>
    <xf numFmtId="3" fontId="8" fillId="36" borderId="10" xfId="57" applyNumberFormat="1" applyFont="1" applyFill="1" applyBorder="1">
      <alignment/>
      <protection/>
    </xf>
    <xf numFmtId="4" fontId="8" fillId="36" borderId="10" xfId="57" applyNumberFormat="1" applyFont="1" applyFill="1" applyBorder="1">
      <alignment/>
      <protection/>
    </xf>
    <xf numFmtId="177" fontId="7" fillId="0" borderId="10" xfId="55" applyNumberFormat="1" applyFont="1" applyFill="1" applyBorder="1">
      <alignment/>
      <protection/>
    </xf>
    <xf numFmtId="177" fontId="7" fillId="0" borderId="0" xfId="55" applyNumberFormat="1" applyFont="1" applyFill="1" applyBorder="1">
      <alignment/>
      <protection/>
    </xf>
    <xf numFmtId="177" fontId="5" fillId="0" borderId="0" xfId="55" applyNumberFormat="1" applyFont="1" applyFill="1" applyBorder="1">
      <alignment/>
      <protection/>
    </xf>
    <xf numFmtId="179" fontId="5" fillId="0" borderId="10" xfId="33" applyNumberFormat="1" applyFont="1" applyFill="1" applyBorder="1">
      <alignment/>
      <protection/>
    </xf>
    <xf numFmtId="179" fontId="6" fillId="0" borderId="10" xfId="55" applyNumberFormat="1" applyFont="1" applyFill="1" applyBorder="1">
      <alignment/>
      <protection/>
    </xf>
    <xf numFmtId="179" fontId="6" fillId="0" borderId="10" xfId="33" applyNumberFormat="1" applyFont="1" applyFill="1" applyBorder="1">
      <alignment/>
      <protection/>
    </xf>
    <xf numFmtId="177" fontId="6" fillId="0" borderId="10" xfId="55" applyNumberFormat="1" applyFont="1" applyFill="1" applyBorder="1">
      <alignment/>
      <protection/>
    </xf>
    <xf numFmtId="177" fontId="3" fillId="0" borderId="10" xfId="57" applyNumberFormat="1" applyBorder="1">
      <alignment/>
      <protection/>
    </xf>
    <xf numFmtId="177" fontId="3" fillId="34" borderId="10" xfId="57" applyNumberFormat="1" applyFill="1" applyBorder="1">
      <alignment/>
      <protection/>
    </xf>
    <xf numFmtId="177" fontId="6" fillId="0" borderId="10" xfId="33" applyNumberFormat="1" applyFont="1" applyFill="1" applyBorder="1">
      <alignment/>
      <protection/>
    </xf>
    <xf numFmtId="3" fontId="6" fillId="0" borderId="10" xfId="0" applyNumberFormat="1" applyFont="1" applyBorder="1" applyAlignment="1">
      <alignment/>
    </xf>
    <xf numFmtId="177" fontId="3" fillId="0" borderId="0" xfId="57" applyNumberFormat="1">
      <alignment/>
      <protection/>
    </xf>
    <xf numFmtId="172" fontId="0" fillId="0" borderId="10" xfId="54" applyNumberFormat="1" applyBorder="1">
      <alignment/>
      <protection/>
    </xf>
    <xf numFmtId="0" fontId="3" fillId="0" borderId="10" xfId="56" applyFont="1" applyFill="1" applyBorder="1" applyAlignment="1">
      <alignment horizontal="center" vertical="top" wrapText="1"/>
      <protection/>
    </xf>
    <xf numFmtId="172" fontId="3" fillId="34" borderId="10" xfId="57" applyNumberFormat="1" applyFill="1" applyBorder="1">
      <alignment/>
      <protection/>
    </xf>
    <xf numFmtId="0" fontId="12" fillId="0" borderId="0" xfId="57" applyFont="1">
      <alignment/>
      <protection/>
    </xf>
    <xf numFmtId="3" fontId="5" fillId="0" borderId="10" xfId="55" applyNumberFormat="1" applyFont="1" applyFill="1" applyBorder="1">
      <alignment/>
      <protection/>
    </xf>
    <xf numFmtId="177" fontId="3" fillId="37" borderId="0" xfId="57" applyNumberFormat="1" applyFill="1">
      <alignment/>
      <protection/>
    </xf>
    <xf numFmtId="177" fontId="11" fillId="37" borderId="0" xfId="57" applyNumberFormat="1" applyFont="1" applyFill="1">
      <alignment/>
      <protection/>
    </xf>
    <xf numFmtId="0" fontId="11" fillId="37" borderId="0" xfId="57" applyFont="1" applyFill="1">
      <alignment/>
      <protection/>
    </xf>
    <xf numFmtId="177" fontId="5" fillId="0" borderId="10" xfId="33" applyNumberFormat="1" applyFont="1" applyFill="1" applyBorder="1">
      <alignment/>
      <protection/>
    </xf>
    <xf numFmtId="0" fontId="3" fillId="2" borderId="0" xfId="57" applyFill="1">
      <alignment/>
      <protection/>
    </xf>
    <xf numFmtId="177" fontId="5" fillId="35" borderId="10" xfId="33" applyNumberFormat="1" applyFont="1" applyFill="1" applyBorder="1" applyAlignment="1">
      <alignment horizontal="center"/>
      <protection/>
    </xf>
    <xf numFmtId="0" fontId="11" fillId="0" borderId="0" xfId="57" applyFont="1">
      <alignment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 horizontal="center"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4" xfId="57" applyFont="1" applyBorder="1" applyAlignment="1">
      <alignment horizontal="center" vertical="center" wrapText="1"/>
      <protection/>
    </xf>
    <xf numFmtId="0" fontId="8" fillId="0" borderId="12" xfId="57" applyFont="1" applyBorder="1" applyAlignment="1">
      <alignment horizontal="center" vertical="center" wrapText="1"/>
      <protection/>
    </xf>
    <xf numFmtId="0" fontId="8" fillId="0" borderId="15" xfId="57" applyFont="1" applyBorder="1" applyAlignment="1">
      <alignment horizontal="center" vertical="center" wrapText="1"/>
      <protection/>
    </xf>
    <xf numFmtId="0" fontId="8" fillId="0" borderId="11" xfId="57" applyFont="1" applyBorder="1" applyAlignment="1">
      <alignment horizontal="center" vertical="center" wrapText="1"/>
      <protection/>
    </xf>
    <xf numFmtId="0" fontId="8" fillId="0" borderId="13" xfId="57" applyFont="1" applyBorder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57" applyFont="1" applyFill="1" applyBorder="1" applyAlignment="1">
      <alignment horizontal="center" vertical="center" wrapText="1"/>
      <protection/>
    </xf>
    <xf numFmtId="177" fontId="5" fillId="34" borderId="10" xfId="33" applyNumberFormat="1" applyFont="1" applyFill="1" applyBorder="1">
      <alignment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Regional Data for IGR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Местные бюджеты 2006 - расчет МБТ(2 чтение)" xfId="55"/>
    <cellStyle name="Обычный_налоговый потенциал_2009_2011" xfId="56"/>
    <cellStyle name="Обычный_Поселения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sk%20c\P\&#1053;&#1072;&#1083;&#1086;&#1075;&#1086;&#1074;&#1099;&#1081;%20&#1087;&#1086;&#1090;&#1077;&#1085;&#1094;&#1080;&#1072;&#1083;%202005\svp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app02\Sliv\Orsuf\&#1062;&#1060;&#1055;%20&#1072;&#1087;&#1088;&#1077;&#1083;&#1100;%202005\&#1053;&#1072;&#1096;&#1080;%20&#1076;&#1072;&#1085;&#1085;&#1099;&#1077;\2006\&#1052;&#1077;&#1089;&#1090;&#1085;&#1099;&#1077;%20&#1073;&#1102;&#1076;&#1078;&#1077;&#1090;&#1099;%202006%20-%20&#1088;&#1072;&#1089;&#1095;&#1077;&#1090;%20&#1052;&#1041;&#1058;(2%20&#1095;&#1090;&#1077;&#1085;&#1080;&#107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1"/>
      <sheetName val="НДФЛ"/>
      <sheetName val="НИФЛ"/>
      <sheetName val="ЕСХН"/>
      <sheetName val="ЗН"/>
      <sheetName val="sv"/>
      <sheetName val="np"/>
      <sheetName val="МР_ГО"/>
      <sheetName val="rr"/>
    </sheetNames>
    <sheetDataSet>
      <sheetData sheetId="9">
        <row r="3">
          <cell r="D3">
            <v>39</v>
          </cell>
        </row>
        <row r="5">
          <cell r="D5" t="str">
            <v>1 Александрово-Гайский</v>
          </cell>
          <cell r="E5">
            <v>7</v>
          </cell>
        </row>
        <row r="6">
          <cell r="D6" t="str">
            <v>2 Аркадакский</v>
          </cell>
          <cell r="E6">
            <v>7</v>
          </cell>
        </row>
        <row r="7">
          <cell r="D7" t="str">
            <v>3 Базарно-Карабулакский</v>
          </cell>
          <cell r="E7">
            <v>13</v>
          </cell>
        </row>
        <row r="8">
          <cell r="D8" t="str">
            <v>4 Балтайский</v>
          </cell>
          <cell r="E8">
            <v>4</v>
          </cell>
        </row>
        <row r="9">
          <cell r="D9" t="str">
            <v>5 Воскресенский</v>
          </cell>
          <cell r="E9">
            <v>3</v>
          </cell>
        </row>
        <row r="10">
          <cell r="D10" t="str">
            <v>6 Дергачевский</v>
          </cell>
          <cell r="E10">
            <v>13</v>
          </cell>
        </row>
        <row r="11">
          <cell r="D11" t="str">
            <v>7 Духовницкий</v>
          </cell>
          <cell r="E11">
            <v>7</v>
          </cell>
        </row>
        <row r="12">
          <cell r="D12" t="str">
            <v>8 Екатериновский</v>
          </cell>
          <cell r="E12">
            <v>14</v>
          </cell>
        </row>
        <row r="13">
          <cell r="D13" t="str">
            <v>9 Ершовский</v>
          </cell>
          <cell r="E13">
            <v>15</v>
          </cell>
        </row>
        <row r="14">
          <cell r="D14" t="str">
            <v>10 Ивантеевский</v>
          </cell>
          <cell r="E14">
            <v>9</v>
          </cell>
        </row>
        <row r="15">
          <cell r="D15" t="str">
            <v>11 Калининский</v>
          </cell>
          <cell r="E15">
            <v>13</v>
          </cell>
        </row>
        <row r="16">
          <cell r="D16" t="str">
            <v>12 Краснокутский</v>
          </cell>
          <cell r="E16">
            <v>13</v>
          </cell>
        </row>
        <row r="17">
          <cell r="D17" t="str">
            <v>13 Краснопартизанский</v>
          </cell>
          <cell r="E17">
            <v>8</v>
          </cell>
        </row>
        <row r="18">
          <cell r="D18" t="str">
            <v>14 Лысогорский</v>
          </cell>
          <cell r="E18">
            <v>11</v>
          </cell>
        </row>
        <row r="19">
          <cell r="D19" t="str">
            <v>15 Новобурасский</v>
          </cell>
          <cell r="E19">
            <v>8</v>
          </cell>
        </row>
        <row r="20">
          <cell r="D20" t="str">
            <v>16 Новоузенский </v>
          </cell>
          <cell r="E20">
            <v>12</v>
          </cell>
        </row>
        <row r="21">
          <cell r="D21" t="str">
            <v>17 Озинский</v>
          </cell>
          <cell r="E21">
            <v>11</v>
          </cell>
        </row>
        <row r="22">
          <cell r="D22" t="str">
            <v>18 Перелюбский</v>
          </cell>
          <cell r="E22">
            <v>12</v>
          </cell>
        </row>
        <row r="23">
          <cell r="D23" t="str">
            <v>19 Питерский</v>
          </cell>
          <cell r="E23">
            <v>8</v>
          </cell>
        </row>
        <row r="24">
          <cell r="D24" t="str">
            <v>20 Ровенский</v>
          </cell>
          <cell r="E24">
            <v>8</v>
          </cell>
        </row>
        <row r="25">
          <cell r="D25" t="str">
            <v>21 Романовский</v>
          </cell>
          <cell r="E25">
            <v>8</v>
          </cell>
        </row>
        <row r="26">
          <cell r="D26" t="str">
            <v>22 Самойловский</v>
          </cell>
          <cell r="E26">
            <v>8</v>
          </cell>
        </row>
        <row r="27">
          <cell r="D27" t="str">
            <v>23 Саратовский</v>
          </cell>
          <cell r="E27">
            <v>12</v>
          </cell>
        </row>
        <row r="28">
          <cell r="D28" t="str">
            <v>24 Советский</v>
          </cell>
          <cell r="E28">
            <v>9</v>
          </cell>
        </row>
        <row r="29">
          <cell r="D29" t="str">
            <v>25 Татищевский</v>
          </cell>
          <cell r="E29">
            <v>11</v>
          </cell>
        </row>
        <row r="30">
          <cell r="D30" t="str">
            <v>26 Турковский</v>
          </cell>
          <cell r="E30">
            <v>9</v>
          </cell>
        </row>
        <row r="31">
          <cell r="D31" t="str">
            <v>27 Федоровский</v>
          </cell>
          <cell r="E31">
            <v>15</v>
          </cell>
        </row>
        <row r="32">
          <cell r="D32" t="str">
            <v>28 г.Аткарск</v>
          </cell>
          <cell r="E32">
            <v>15</v>
          </cell>
        </row>
        <row r="33">
          <cell r="D33" t="str">
            <v>29 г.Балаково</v>
          </cell>
          <cell r="E33">
            <v>18</v>
          </cell>
        </row>
        <row r="34">
          <cell r="D34" t="str">
            <v>30 г.Балашов</v>
          </cell>
          <cell r="E34">
            <v>16</v>
          </cell>
        </row>
        <row r="35">
          <cell r="D35" t="str">
            <v>31 г.Вольск</v>
          </cell>
          <cell r="E35">
            <v>15</v>
          </cell>
        </row>
        <row r="36">
          <cell r="D36" t="str">
            <v>32 г.Красноармейск</v>
          </cell>
          <cell r="E36">
            <v>19</v>
          </cell>
        </row>
        <row r="37">
          <cell r="D37" t="str">
            <v>33 г.Маркс</v>
          </cell>
          <cell r="E37">
            <v>7</v>
          </cell>
        </row>
        <row r="38">
          <cell r="D38" t="str">
            <v>34 г.Петровск</v>
          </cell>
          <cell r="E38">
            <v>6</v>
          </cell>
        </row>
        <row r="39">
          <cell r="D39" t="str">
            <v>35 г.Пугачев</v>
          </cell>
          <cell r="E39">
            <v>10</v>
          </cell>
        </row>
        <row r="40">
          <cell r="D40" t="str">
            <v>36 г.Ртищево</v>
          </cell>
          <cell r="E40">
            <v>7</v>
          </cell>
        </row>
        <row r="41">
          <cell r="D41" t="str">
            <v>39 г.Саратов</v>
          </cell>
          <cell r="E41">
            <v>1</v>
          </cell>
        </row>
        <row r="42">
          <cell r="D42" t="str">
            <v>38 г.Хвалынск</v>
          </cell>
          <cell r="E42">
            <v>9</v>
          </cell>
        </row>
        <row r="43">
          <cell r="D43" t="str">
            <v>39 г.Энгельс</v>
          </cell>
          <cell r="E43">
            <v>7</v>
          </cell>
        </row>
        <row r="44">
          <cell r="D44" t="str">
            <v>40 п.Светлый</v>
          </cell>
          <cell r="E44">
            <v>1</v>
          </cell>
        </row>
        <row r="45">
          <cell r="D45" t="str">
            <v>41 г.Шиханы</v>
          </cell>
          <cell r="E45">
            <v>1</v>
          </cell>
        </row>
        <row r="46">
          <cell r="D46" t="str">
            <v>42 п.Михайловский</v>
          </cell>
          <cell r="E4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"/>
      <sheetName val="МР_П"/>
      <sheetName val="Закреп"/>
      <sheetName val="N_НДФЛ"/>
      <sheetName val="N_НДФЛ (ОТ)"/>
      <sheetName val="ОТ_КБМР"/>
      <sheetName val="ОТ_БМР"/>
      <sheetName val="ОТ_БП"/>
      <sheetName val="Отчет 2004"/>
      <sheetName val="Душа"/>
      <sheetName val="Р_отр"/>
      <sheetName val="ИБР"/>
      <sheetName val="МБТ"/>
      <sheetName val="МБТ_2"/>
      <sheetName val="ИНП_МР"/>
      <sheetName val="ИНП_П"/>
      <sheetName val="НП1"/>
      <sheetName val="НП2"/>
      <sheetName val="НП3"/>
      <sheetName val="Дпрог"/>
    </sheetNames>
    <sheetDataSet>
      <sheetData sheetId="1">
        <row r="3">
          <cell r="C3" t="str">
            <v>Числен-ность постоян-ного населения, чел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:G16"/>
    </sheetView>
  </sheetViews>
  <sheetFormatPr defaultColWidth="8.00390625" defaultRowHeight="12.75"/>
  <cols>
    <col min="1" max="1" width="3.25390625" style="1" customWidth="1"/>
    <col min="2" max="2" width="22.125" style="1" customWidth="1"/>
    <col min="3" max="5" width="8.75390625" style="19" customWidth="1"/>
    <col min="6" max="7" width="9.00390625" style="19" customWidth="1"/>
    <col min="8" max="10" width="8.75390625" style="19" hidden="1" customWidth="1"/>
    <col min="11" max="14" width="8.75390625" style="19" customWidth="1"/>
    <col min="15" max="15" width="9.875" style="19" customWidth="1"/>
    <col min="16" max="17" width="8.75390625" style="19" customWidth="1"/>
    <col min="18" max="18" width="9.625" style="19" customWidth="1"/>
    <col min="19" max="19" width="10.00390625" style="19" customWidth="1"/>
    <col min="20" max="25" width="8.75390625" style="19" customWidth="1"/>
    <col min="26" max="16384" width="8.00390625" style="1" customWidth="1"/>
  </cols>
  <sheetData>
    <row r="1" spans="2:25" ht="27" customHeight="1">
      <c r="B1" s="61" t="s">
        <v>58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11.25">
      <c r="Y2" s="1" t="s">
        <v>19</v>
      </c>
    </row>
    <row r="3" spans="1:25" ht="30.75" customHeight="1">
      <c r="A3" s="57" t="s">
        <v>0</v>
      </c>
      <c r="B3" s="57" t="s">
        <v>1</v>
      </c>
      <c r="C3" s="59" t="str">
        <f>'[2]МР_П'!C3</f>
        <v>Числен-ность постоян-ного населения, чел</v>
      </c>
      <c r="D3" s="20" t="s">
        <v>20</v>
      </c>
      <c r="E3" s="59" t="s">
        <v>21</v>
      </c>
      <c r="F3" s="62" t="s">
        <v>22</v>
      </c>
      <c r="G3" s="62"/>
      <c r="H3" s="21"/>
      <c r="I3" s="21"/>
      <c r="J3" s="21"/>
      <c r="K3" s="62" t="s">
        <v>23</v>
      </c>
      <c r="L3" s="62"/>
      <c r="M3" s="62"/>
      <c r="N3" s="62"/>
      <c r="O3" s="63" t="s">
        <v>24</v>
      </c>
      <c r="P3" s="64"/>
      <c r="Q3" s="64"/>
      <c r="R3" s="64"/>
      <c r="S3" s="65"/>
      <c r="T3" s="63" t="s">
        <v>25</v>
      </c>
      <c r="U3" s="64"/>
      <c r="V3" s="64"/>
      <c r="W3" s="64"/>
      <c r="X3" s="65"/>
      <c r="Y3" s="66" t="s">
        <v>13</v>
      </c>
    </row>
    <row r="4" spans="1:25" ht="56.25">
      <c r="A4" s="58"/>
      <c r="B4" s="58"/>
      <c r="C4" s="60"/>
      <c r="D4" s="20" t="s">
        <v>26</v>
      </c>
      <c r="E4" s="60"/>
      <c r="F4" s="20" t="s">
        <v>27</v>
      </c>
      <c r="G4" s="20" t="s">
        <v>28</v>
      </c>
      <c r="H4" s="22" t="s">
        <v>29</v>
      </c>
      <c r="I4" s="22" t="s">
        <v>30</v>
      </c>
      <c r="J4" s="22"/>
      <c r="K4" s="20" t="s">
        <v>31</v>
      </c>
      <c r="L4" s="20" t="s">
        <v>32</v>
      </c>
      <c r="M4" s="20" t="s">
        <v>33</v>
      </c>
      <c r="N4" s="20" t="s">
        <v>34</v>
      </c>
      <c r="O4" s="15" t="s">
        <v>35</v>
      </c>
      <c r="P4" s="15" t="s">
        <v>36</v>
      </c>
      <c r="Q4" s="15" t="s">
        <v>37</v>
      </c>
      <c r="R4" s="15" t="s">
        <v>38</v>
      </c>
      <c r="S4" s="15" t="s">
        <v>39</v>
      </c>
      <c r="T4" s="15" t="s">
        <v>35</v>
      </c>
      <c r="U4" s="15" t="s">
        <v>36</v>
      </c>
      <c r="V4" s="15" t="s">
        <v>37</v>
      </c>
      <c r="W4" s="15" t="s">
        <v>38</v>
      </c>
      <c r="X4" s="15" t="s">
        <v>39</v>
      </c>
      <c r="Y4" s="67"/>
    </row>
    <row r="5" spans="1:25" s="5" customFormat="1" ht="11.25">
      <c r="A5" s="4"/>
      <c r="B5" s="4"/>
      <c r="C5" s="4"/>
      <c r="D5" s="4"/>
      <c r="E5" s="4"/>
      <c r="F5" s="4"/>
      <c r="G5" s="4"/>
      <c r="H5" s="23"/>
      <c r="I5" s="23"/>
      <c r="J5" s="23"/>
      <c r="K5" s="4"/>
      <c r="L5" s="4"/>
      <c r="M5" s="4"/>
      <c r="N5" s="4"/>
      <c r="O5" s="4"/>
      <c r="P5" s="4"/>
      <c r="Q5" s="4"/>
      <c r="R5" s="4"/>
      <c r="S5" s="4"/>
      <c r="T5" s="24">
        <v>0.26</v>
      </c>
      <c r="U5" s="24">
        <v>0</v>
      </c>
      <c r="V5" s="24">
        <v>0</v>
      </c>
      <c r="W5" s="24">
        <v>0.35</v>
      </c>
      <c r="X5" s="24">
        <v>0.39</v>
      </c>
      <c r="Y5" s="4"/>
    </row>
    <row r="6" spans="1:25" ht="11.25">
      <c r="A6" s="6">
        <v>1</v>
      </c>
      <c r="B6" s="7" t="s">
        <v>48</v>
      </c>
      <c r="C6" s="49">
        <v>9293</v>
      </c>
      <c r="D6" s="8">
        <v>9293</v>
      </c>
      <c r="E6" s="8"/>
      <c r="F6" s="25">
        <v>2474.44</v>
      </c>
      <c r="G6" s="25">
        <v>49.05</v>
      </c>
      <c r="H6" s="26">
        <v>21467.3</v>
      </c>
      <c r="I6" s="26">
        <f aca="true" t="shared" si="0" ref="I6:I12">F6*H6</f>
        <v>53119545.812</v>
      </c>
      <c r="J6" s="27">
        <f>'ИБР 2022'!G6*'ИБР 2022'!H6/'ИБР 2022'!$H$16</f>
        <v>9.501719605843762</v>
      </c>
      <c r="K6" s="28">
        <f aca="true" t="shared" si="1" ref="K6:K15">IF(C6&lt;&gt;0,0.6+0.4*($C$16/COUNT($A$6:$A$15))/C6,0)</f>
        <v>0.7171591520499301</v>
      </c>
      <c r="L6" s="28">
        <f>IF(C6&lt;&gt;0,1+E6/C6,0)</f>
        <v>1</v>
      </c>
      <c r="M6" s="28">
        <f>IF(C6&lt;&gt;0,1+D6/C6,0)</f>
        <v>2</v>
      </c>
      <c r="N6" s="28">
        <f aca="true" t="shared" si="2" ref="N6:N16">IF($G$16&lt;&gt;0,0.9+0.1*(0.8*F6/$F$16+0.2*G6/$G$16),0)</f>
        <v>1</v>
      </c>
      <c r="O6" s="17">
        <f aca="true" t="shared" si="3" ref="O6:O16">C6*K6</f>
        <v>6664.56</v>
      </c>
      <c r="P6" s="17">
        <f>C6*L6*M6</f>
        <v>18586</v>
      </c>
      <c r="Q6" s="17">
        <f aca="true" t="shared" si="4" ref="Q6:Q16">C6*M6</f>
        <v>18586</v>
      </c>
      <c r="R6" s="17">
        <f aca="true" t="shared" si="5" ref="R6:R16">C6*K6*N6</f>
        <v>6664.56</v>
      </c>
      <c r="S6" s="17">
        <f aca="true" t="shared" si="6" ref="S6:S16">C6*L6</f>
        <v>9293</v>
      </c>
      <c r="T6" s="28">
        <f aca="true" t="shared" si="7" ref="T6:T16">IF(C6&lt;&gt;0,(O6/$C6)/(O$16/$C$16),0)</f>
        <v>0.7171591520499301</v>
      </c>
      <c r="U6" s="28">
        <f aca="true" t="shared" si="8" ref="U6:U16">IF(C6&lt;&gt;0,(P6/$C6)/(P$16/$C$16),0)</f>
        <v>1.2187998096440542</v>
      </c>
      <c r="V6" s="28">
        <f aca="true" t="shared" si="9" ref="V6:V16">IF(C6&lt;&gt;0,(Q6/$C6)/(Q$16/$C$16),0)</f>
        <v>1.4191345151199164</v>
      </c>
      <c r="W6" s="28">
        <f aca="true" t="shared" si="10" ref="W6:W16">IF(C6&lt;&gt;0,(R6/$C6)/(R$16/$C$16),0)</f>
        <v>0.7171591520499301</v>
      </c>
      <c r="X6" s="28">
        <f aca="true" t="shared" si="11" ref="X6:X16">IF(C6&lt;&gt;0,(S6/$C6)/(S$16/$C$16),0)</f>
        <v>0.8588331808285742</v>
      </c>
      <c r="Y6" s="29">
        <f>IF(SUM($T$5:$X$5)=1,T6*$T$5+U6*$U$5+V6*$V$5+W6*$W$5+X6*$X$5,0)</f>
        <v>0.7724120232736013</v>
      </c>
    </row>
    <row r="7" spans="1:25" ht="11.25">
      <c r="A7" s="6">
        <v>2</v>
      </c>
      <c r="B7" s="7" t="s">
        <v>49</v>
      </c>
      <c r="C7" s="49">
        <v>5211</v>
      </c>
      <c r="D7" s="8">
        <v>1848</v>
      </c>
      <c r="E7" s="8">
        <v>1249</v>
      </c>
      <c r="F7" s="25">
        <v>2474.44</v>
      </c>
      <c r="G7" s="25">
        <v>49.05</v>
      </c>
      <c r="H7" s="26">
        <v>13753.5</v>
      </c>
      <c r="I7" s="26">
        <f t="shared" si="0"/>
        <v>34032210.54</v>
      </c>
      <c r="J7" s="27">
        <f>'ИБР 2022'!G7*'ИБР 2022'!H7/'ИБР 2022'!$H$16</f>
        <v>6.087486577211489</v>
      </c>
      <c r="K7" s="28">
        <f t="shared" si="1"/>
        <v>0.8089349453080023</v>
      </c>
      <c r="L7" s="28">
        <f aca="true" t="shared" si="12" ref="L7:L15">IF(C7&lt;&gt;0,1+E7/C7,0)</f>
        <v>1.2396852811360584</v>
      </c>
      <c r="M7" s="28">
        <f aca="true" t="shared" si="13" ref="M7:M15">IF(C7&lt;&gt;0,1+D7/C7,0)</f>
        <v>1.3546344271732873</v>
      </c>
      <c r="N7" s="28">
        <f t="shared" si="2"/>
        <v>1</v>
      </c>
      <c r="O7" s="17">
        <f t="shared" si="3"/>
        <v>4215.36</v>
      </c>
      <c r="P7" s="17">
        <f aca="true" t="shared" si="14" ref="P7:P16">C7*L7*M7</f>
        <v>8750.938399539436</v>
      </c>
      <c r="Q7" s="17">
        <f t="shared" si="4"/>
        <v>7059</v>
      </c>
      <c r="R7" s="17">
        <f t="shared" si="5"/>
        <v>4215.36</v>
      </c>
      <c r="S7" s="17">
        <f t="shared" si="6"/>
        <v>6460</v>
      </c>
      <c r="T7" s="28">
        <f t="shared" si="7"/>
        <v>0.8089349453080023</v>
      </c>
      <c r="U7" s="28">
        <f t="shared" si="8"/>
        <v>1.023377667968289</v>
      </c>
      <c r="V7" s="28">
        <f t="shared" si="9"/>
        <v>0.9612042354856545</v>
      </c>
      <c r="W7" s="28">
        <f t="shared" si="10"/>
        <v>0.8089349453080023</v>
      </c>
      <c r="X7" s="28">
        <f t="shared" si="11"/>
        <v>1.0646828532244463</v>
      </c>
      <c r="Y7" s="29">
        <f aca="true" t="shared" si="15" ref="Y7:Y16">IF(SUM($T$5:$X$5)=1,T7*$T$5+U7*$U$5+V7*$V$5+W7*$W$5+X7*$X$5,0)</f>
        <v>0.9086766293954155</v>
      </c>
    </row>
    <row r="8" spans="1:25" ht="11.25">
      <c r="A8" s="6">
        <v>3</v>
      </c>
      <c r="B8" s="7" t="s">
        <v>50</v>
      </c>
      <c r="C8" s="49">
        <v>2522</v>
      </c>
      <c r="D8" s="8"/>
      <c r="E8" s="8">
        <v>73</v>
      </c>
      <c r="F8" s="25">
        <v>2474.44</v>
      </c>
      <c r="G8" s="25">
        <v>49.05</v>
      </c>
      <c r="H8" s="26">
        <v>16300</v>
      </c>
      <c r="I8" s="26">
        <f t="shared" si="0"/>
        <v>40333372</v>
      </c>
      <c r="J8" s="27">
        <f>'ИБР 2022'!G8*'ИБР 2022'!H8/'ИБР 2022'!$H$16</f>
        <v>7.214602189155289</v>
      </c>
      <c r="K8" s="28">
        <f t="shared" si="1"/>
        <v>1.031704996034893</v>
      </c>
      <c r="L8" s="28">
        <f t="shared" si="12"/>
        <v>1.028945281522601</v>
      </c>
      <c r="M8" s="28">
        <f t="shared" si="13"/>
        <v>1</v>
      </c>
      <c r="N8" s="28">
        <f t="shared" si="2"/>
        <v>1</v>
      </c>
      <c r="O8" s="17">
        <f t="shared" si="3"/>
        <v>2601.96</v>
      </c>
      <c r="P8" s="17">
        <f t="shared" si="14"/>
        <v>2594.9999999999995</v>
      </c>
      <c r="Q8" s="17">
        <f t="shared" si="4"/>
        <v>2522</v>
      </c>
      <c r="R8" s="17">
        <f t="shared" si="5"/>
        <v>2601.96</v>
      </c>
      <c r="S8" s="17">
        <f t="shared" si="6"/>
        <v>2594.9999999999995</v>
      </c>
      <c r="T8" s="28">
        <f t="shared" si="7"/>
        <v>1.031704996034893</v>
      </c>
      <c r="U8" s="28">
        <f t="shared" si="8"/>
        <v>0.627039156626947</v>
      </c>
      <c r="V8" s="28">
        <f t="shared" si="9"/>
        <v>0.7095672575599582</v>
      </c>
      <c r="W8" s="28">
        <f t="shared" si="10"/>
        <v>1.031704996034893</v>
      </c>
      <c r="X8" s="28">
        <f t="shared" si="11"/>
        <v>0.8836923490286082</v>
      </c>
      <c r="Y8" s="29">
        <f t="shared" si="15"/>
        <v>0.9739800637024418</v>
      </c>
    </row>
    <row r="9" spans="1:25" ht="11.25">
      <c r="A9" s="6">
        <v>4</v>
      </c>
      <c r="B9" s="7" t="s">
        <v>51</v>
      </c>
      <c r="C9" s="49">
        <v>761</v>
      </c>
      <c r="D9" s="8"/>
      <c r="E9" s="8">
        <v>761</v>
      </c>
      <c r="F9" s="25">
        <v>2474.44</v>
      </c>
      <c r="G9" s="25">
        <v>49.05</v>
      </c>
      <c r="H9" s="26"/>
      <c r="I9" s="26">
        <f t="shared" si="0"/>
        <v>0</v>
      </c>
      <c r="J9" s="27">
        <f>'ИБР 2022'!G9*'ИБР 2022'!H9/'ИБР 2022'!$H$16</f>
        <v>0</v>
      </c>
      <c r="K9" s="28">
        <f t="shared" si="1"/>
        <v>2.0306964520367936</v>
      </c>
      <c r="L9" s="28">
        <f t="shared" si="12"/>
        <v>2</v>
      </c>
      <c r="M9" s="28">
        <f t="shared" si="13"/>
        <v>1</v>
      </c>
      <c r="N9" s="28">
        <f t="shared" si="2"/>
        <v>1</v>
      </c>
      <c r="O9" s="17">
        <f t="shared" si="3"/>
        <v>1545.36</v>
      </c>
      <c r="P9" s="17">
        <f t="shared" si="14"/>
        <v>1522</v>
      </c>
      <c r="Q9" s="17">
        <f t="shared" si="4"/>
        <v>761</v>
      </c>
      <c r="R9" s="17">
        <f t="shared" si="5"/>
        <v>1545.36</v>
      </c>
      <c r="S9" s="17">
        <f t="shared" si="6"/>
        <v>1522</v>
      </c>
      <c r="T9" s="28">
        <f t="shared" si="7"/>
        <v>2.0306964520367936</v>
      </c>
      <c r="U9" s="28">
        <f t="shared" si="8"/>
        <v>1.2187998096440542</v>
      </c>
      <c r="V9" s="28">
        <f t="shared" si="9"/>
        <v>0.7095672575599582</v>
      </c>
      <c r="W9" s="28">
        <f t="shared" si="10"/>
        <v>2.0306964520367936</v>
      </c>
      <c r="X9" s="28">
        <f t="shared" si="11"/>
        <v>1.7176663616571484</v>
      </c>
      <c r="Y9" s="29">
        <f t="shared" si="15"/>
        <v>1.908614716788732</v>
      </c>
    </row>
    <row r="10" spans="1:25" ht="11.25">
      <c r="A10" s="6">
        <v>5</v>
      </c>
      <c r="B10" s="7" t="s">
        <v>52</v>
      </c>
      <c r="C10" s="49">
        <v>2011</v>
      </c>
      <c r="D10" s="8"/>
      <c r="E10" s="8">
        <v>920</v>
      </c>
      <c r="F10" s="25">
        <v>2474.44</v>
      </c>
      <c r="G10" s="25">
        <v>49.05</v>
      </c>
      <c r="H10" s="26">
        <v>20636.3</v>
      </c>
      <c r="I10" s="26">
        <f t="shared" si="0"/>
        <v>51063286.172</v>
      </c>
      <c r="J10" s="27">
        <f>'ИБР 2022'!G10*'ИБР 2022'!H10/'ИБР 2022'!$H$16</f>
        <v>9.133907678286214</v>
      </c>
      <c r="K10" s="28">
        <f t="shared" si="1"/>
        <v>1.1414022874191945</v>
      </c>
      <c r="L10" s="28">
        <f t="shared" si="12"/>
        <v>1.4574838388861262</v>
      </c>
      <c r="M10" s="28">
        <f t="shared" si="13"/>
        <v>1</v>
      </c>
      <c r="N10" s="28">
        <f t="shared" si="2"/>
        <v>1</v>
      </c>
      <c r="O10" s="17">
        <f t="shared" si="3"/>
        <v>2295.36</v>
      </c>
      <c r="P10" s="17">
        <f t="shared" si="14"/>
        <v>2931</v>
      </c>
      <c r="Q10" s="17">
        <f t="shared" si="4"/>
        <v>2011</v>
      </c>
      <c r="R10" s="17">
        <f t="shared" si="5"/>
        <v>2295.36</v>
      </c>
      <c r="S10" s="17">
        <f t="shared" si="6"/>
        <v>2931</v>
      </c>
      <c r="T10" s="28">
        <f t="shared" si="7"/>
        <v>1.1414022874191945</v>
      </c>
      <c r="U10" s="28">
        <f t="shared" si="8"/>
        <v>0.888190512696848</v>
      </c>
      <c r="V10" s="28">
        <f t="shared" si="9"/>
        <v>0.7095672575599582</v>
      </c>
      <c r="W10" s="28">
        <f t="shared" si="10"/>
        <v>1.1414022874191945</v>
      </c>
      <c r="X10" s="28">
        <f t="shared" si="11"/>
        <v>1.251735481356813</v>
      </c>
      <c r="Y10" s="29">
        <f t="shared" si="15"/>
        <v>1.1844322330548658</v>
      </c>
    </row>
    <row r="11" spans="1:25" ht="11.25">
      <c r="A11" s="6">
        <v>6</v>
      </c>
      <c r="B11" s="7" t="s">
        <v>53</v>
      </c>
      <c r="C11" s="49">
        <v>1812</v>
      </c>
      <c r="D11" s="8"/>
      <c r="E11" s="8">
        <v>599</v>
      </c>
      <c r="F11" s="25">
        <v>2474.44</v>
      </c>
      <c r="G11" s="25">
        <v>49.05</v>
      </c>
      <c r="H11" s="26">
        <v>5640</v>
      </c>
      <c r="I11" s="26">
        <f t="shared" si="0"/>
        <v>13955841.6</v>
      </c>
      <c r="J11" s="27">
        <f>'ИБР 2022'!G11*'ИБР 2022'!H11/'ИБР 2022'!$H$16</f>
        <v>2.4963408801739773</v>
      </c>
      <c r="K11" s="28">
        <f t="shared" si="1"/>
        <v>1.2008609271523178</v>
      </c>
      <c r="L11" s="28">
        <f t="shared" si="12"/>
        <v>1.3305739514348787</v>
      </c>
      <c r="M11" s="28">
        <f t="shared" si="13"/>
        <v>1</v>
      </c>
      <c r="N11" s="28">
        <f t="shared" si="2"/>
        <v>1</v>
      </c>
      <c r="O11" s="17">
        <f t="shared" si="3"/>
        <v>2175.96</v>
      </c>
      <c r="P11" s="17">
        <f t="shared" si="14"/>
        <v>2411</v>
      </c>
      <c r="Q11" s="17">
        <f t="shared" si="4"/>
        <v>1812</v>
      </c>
      <c r="R11" s="17">
        <f t="shared" si="5"/>
        <v>2175.96</v>
      </c>
      <c r="S11" s="17">
        <f t="shared" si="6"/>
        <v>2411</v>
      </c>
      <c r="T11" s="28">
        <f t="shared" si="7"/>
        <v>1.2008609271523178</v>
      </c>
      <c r="U11" s="28">
        <f t="shared" si="8"/>
        <v>0.8108516393630836</v>
      </c>
      <c r="V11" s="28">
        <f t="shared" si="9"/>
        <v>0.7095672575599582</v>
      </c>
      <c r="W11" s="28">
        <f t="shared" si="10"/>
        <v>1.2008609271523178</v>
      </c>
      <c r="X11" s="28">
        <f t="shared" si="11"/>
        <v>1.1427410590384617</v>
      </c>
      <c r="Y11" s="29">
        <f t="shared" si="15"/>
        <v>1.178194178587914</v>
      </c>
    </row>
    <row r="12" spans="1:25" ht="11.25">
      <c r="A12" s="6">
        <v>7</v>
      </c>
      <c r="B12" s="7" t="s">
        <v>54</v>
      </c>
      <c r="C12" s="49">
        <v>893</v>
      </c>
      <c r="D12" s="8"/>
      <c r="E12" s="8">
        <v>144</v>
      </c>
      <c r="F12" s="25">
        <v>2474.44</v>
      </c>
      <c r="G12" s="25">
        <v>49.05</v>
      </c>
      <c r="H12" s="26">
        <v>6002.5</v>
      </c>
      <c r="I12" s="26">
        <f t="shared" si="0"/>
        <v>14852826.1</v>
      </c>
      <c r="J12" s="27">
        <f>'ИБР 2022'!G12*'ИБР 2022'!H12/'ИБР 2022'!$H$16</f>
        <v>2.656788321497216</v>
      </c>
      <c r="K12" s="28">
        <f t="shared" si="1"/>
        <v>1.8192161254199326</v>
      </c>
      <c r="L12" s="28">
        <f t="shared" si="12"/>
        <v>1.1612541993281076</v>
      </c>
      <c r="M12" s="28">
        <f t="shared" si="13"/>
        <v>1</v>
      </c>
      <c r="N12" s="28">
        <f t="shared" si="2"/>
        <v>1</v>
      </c>
      <c r="O12" s="17">
        <f t="shared" si="3"/>
        <v>1624.5599999999997</v>
      </c>
      <c r="P12" s="17">
        <f t="shared" si="14"/>
        <v>1037</v>
      </c>
      <c r="Q12" s="17">
        <f t="shared" si="4"/>
        <v>893</v>
      </c>
      <c r="R12" s="17">
        <f t="shared" si="5"/>
        <v>1624.5599999999997</v>
      </c>
      <c r="S12" s="17">
        <f t="shared" si="6"/>
        <v>1037</v>
      </c>
      <c r="T12" s="28">
        <f t="shared" si="7"/>
        <v>1.8192161254199326</v>
      </c>
      <c r="U12" s="28">
        <f t="shared" si="8"/>
        <v>0.7076681985447281</v>
      </c>
      <c r="V12" s="28">
        <f t="shared" si="9"/>
        <v>0.7095672575599582</v>
      </c>
      <c r="W12" s="28">
        <f t="shared" si="10"/>
        <v>1.8192161254199326</v>
      </c>
      <c r="X12" s="28">
        <f t="shared" si="11"/>
        <v>0.9973236377594977</v>
      </c>
      <c r="Y12" s="29">
        <f t="shared" si="15"/>
        <v>1.498678055232363</v>
      </c>
    </row>
    <row r="13" spans="1:25" ht="11.25">
      <c r="A13" s="6">
        <v>8</v>
      </c>
      <c r="B13" s="7" t="s">
        <v>55</v>
      </c>
      <c r="C13" s="49">
        <v>2013</v>
      </c>
      <c r="D13" s="8"/>
      <c r="E13" s="8"/>
      <c r="F13" s="25">
        <v>2474.44</v>
      </c>
      <c r="G13" s="25">
        <v>49.05</v>
      </c>
      <c r="H13" s="26"/>
      <c r="I13" s="26"/>
      <c r="J13" s="27"/>
      <c r="K13" s="28">
        <f t="shared" si="1"/>
        <v>1.1408643815201192</v>
      </c>
      <c r="L13" s="28">
        <f t="shared" si="12"/>
        <v>1</v>
      </c>
      <c r="M13" s="28">
        <f t="shared" si="13"/>
        <v>1</v>
      </c>
      <c r="N13" s="28">
        <f t="shared" si="2"/>
        <v>1</v>
      </c>
      <c r="O13" s="17">
        <f t="shared" si="3"/>
        <v>2296.56</v>
      </c>
      <c r="P13" s="17">
        <f t="shared" si="14"/>
        <v>2013</v>
      </c>
      <c r="Q13" s="17">
        <f t="shared" si="4"/>
        <v>2013</v>
      </c>
      <c r="R13" s="17">
        <f t="shared" si="5"/>
        <v>2296.56</v>
      </c>
      <c r="S13" s="17">
        <f t="shared" si="6"/>
        <v>2013</v>
      </c>
      <c r="T13" s="28">
        <f t="shared" si="7"/>
        <v>1.1408643815201192</v>
      </c>
      <c r="U13" s="28">
        <f t="shared" si="8"/>
        <v>0.6093999048220271</v>
      </c>
      <c r="V13" s="28">
        <f t="shared" si="9"/>
        <v>0.7095672575599582</v>
      </c>
      <c r="W13" s="28">
        <f t="shared" si="10"/>
        <v>1.1408643815201192</v>
      </c>
      <c r="X13" s="28">
        <f t="shared" si="11"/>
        <v>0.8588331808285742</v>
      </c>
      <c r="Y13" s="29">
        <f t="shared" si="15"/>
        <v>1.0308722132504167</v>
      </c>
    </row>
    <row r="14" spans="1:25" ht="11.25">
      <c r="A14" s="6">
        <v>9</v>
      </c>
      <c r="B14" s="7" t="s">
        <v>56</v>
      </c>
      <c r="C14" s="49">
        <v>734</v>
      </c>
      <c r="D14" s="8"/>
      <c r="E14" s="8">
        <v>274</v>
      </c>
      <c r="F14" s="25">
        <v>2474.44</v>
      </c>
      <c r="G14" s="25">
        <v>49.05</v>
      </c>
      <c r="H14" s="26">
        <v>14166.2</v>
      </c>
      <c r="I14" s="26">
        <f>F14*H14</f>
        <v>35053411.928</v>
      </c>
      <c r="J14" s="27">
        <f>'ИБР 2022'!G14*'ИБР 2022'!H14/'ИБР 2022'!$H$16</f>
        <v>6.270153222822801</v>
      </c>
      <c r="K14" s="28">
        <f t="shared" si="1"/>
        <v>2.083324250681199</v>
      </c>
      <c r="L14" s="28">
        <f t="shared" si="12"/>
        <v>1.3732970027247957</v>
      </c>
      <c r="M14" s="28">
        <f t="shared" si="13"/>
        <v>1</v>
      </c>
      <c r="N14" s="28">
        <f t="shared" si="2"/>
        <v>1</v>
      </c>
      <c r="O14" s="17">
        <f t="shared" si="3"/>
        <v>1529.16</v>
      </c>
      <c r="P14" s="17">
        <f t="shared" si="14"/>
        <v>1008</v>
      </c>
      <c r="Q14" s="17">
        <f t="shared" si="4"/>
        <v>734</v>
      </c>
      <c r="R14" s="17">
        <f t="shared" si="5"/>
        <v>1529.16</v>
      </c>
      <c r="S14" s="17">
        <f t="shared" si="6"/>
        <v>1008</v>
      </c>
      <c r="T14" s="28">
        <f t="shared" si="7"/>
        <v>2.083324250681199</v>
      </c>
      <c r="U14" s="28">
        <f t="shared" si="8"/>
        <v>0.8368870627528656</v>
      </c>
      <c r="V14" s="28">
        <f t="shared" si="9"/>
        <v>0.7095672575599582</v>
      </c>
      <c r="W14" s="28">
        <f t="shared" si="10"/>
        <v>2.083324250681199</v>
      </c>
      <c r="X14" s="28">
        <f t="shared" si="11"/>
        <v>1.1794330330724834</v>
      </c>
      <c r="Y14" s="29">
        <f t="shared" si="15"/>
        <v>1.7308066758137999</v>
      </c>
    </row>
    <row r="15" spans="1:25" ht="11.25">
      <c r="A15" s="6">
        <v>10</v>
      </c>
      <c r="B15" s="7" t="s">
        <v>57</v>
      </c>
      <c r="C15" s="49">
        <v>1969</v>
      </c>
      <c r="D15" s="8"/>
      <c r="E15" s="8">
        <v>454</v>
      </c>
      <c r="F15" s="25">
        <v>2474.44</v>
      </c>
      <c r="G15" s="25">
        <v>49.05</v>
      </c>
      <c r="H15" s="26">
        <v>12853.2</v>
      </c>
      <c r="I15" s="26">
        <f>F15*H15</f>
        <v>31804472.208000004</v>
      </c>
      <c r="J15" s="27">
        <f>'ИБР 2022'!G15*'ИБР 2022'!H15/'ИБР 2022'!$H$16</f>
        <v>5.689001525009249</v>
      </c>
      <c r="K15" s="28">
        <f t="shared" si="1"/>
        <v>1.1529507364144236</v>
      </c>
      <c r="L15" s="28">
        <f t="shared" si="12"/>
        <v>1.2305738953783647</v>
      </c>
      <c r="M15" s="28">
        <f t="shared" si="13"/>
        <v>1</v>
      </c>
      <c r="N15" s="28">
        <f t="shared" si="2"/>
        <v>1</v>
      </c>
      <c r="O15" s="17">
        <f t="shared" si="3"/>
        <v>2270.16</v>
      </c>
      <c r="P15" s="17">
        <f t="shared" si="14"/>
        <v>2423</v>
      </c>
      <c r="Q15" s="17">
        <f t="shared" si="4"/>
        <v>1969</v>
      </c>
      <c r="R15" s="17">
        <f t="shared" si="5"/>
        <v>2270.16</v>
      </c>
      <c r="S15" s="17">
        <f t="shared" si="6"/>
        <v>2423</v>
      </c>
      <c r="T15" s="28">
        <f t="shared" si="7"/>
        <v>1.1529507364144236</v>
      </c>
      <c r="U15" s="28">
        <f t="shared" si="8"/>
        <v>0.7499116147200466</v>
      </c>
      <c r="V15" s="28">
        <f t="shared" si="9"/>
        <v>0.7095672575599582</v>
      </c>
      <c r="W15" s="28">
        <f t="shared" si="10"/>
        <v>1.1529507364144236</v>
      </c>
      <c r="X15" s="28">
        <f t="shared" si="11"/>
        <v>1.05685769281241</v>
      </c>
      <c r="Y15" s="29">
        <f t="shared" si="15"/>
        <v>1.1154744494096382</v>
      </c>
    </row>
    <row r="16" spans="1:25" ht="12.75">
      <c r="A16" s="12"/>
      <c r="B16" s="13" t="s">
        <v>11</v>
      </c>
      <c r="C16" s="13">
        <f>SUM(C6:C15)</f>
        <v>27219</v>
      </c>
      <c r="D16" s="30">
        <f>SUM(D6:D15)</f>
        <v>11141</v>
      </c>
      <c r="E16" s="30">
        <f>SUM(E6:E15)</f>
        <v>4474</v>
      </c>
      <c r="F16" s="25">
        <v>2474.44</v>
      </c>
      <c r="G16" s="25">
        <v>49.05</v>
      </c>
      <c r="H16" s="31">
        <f>SUM(H6:H15)</f>
        <v>110819</v>
      </c>
      <c r="I16" s="31">
        <f>SUM(I6:I15)</f>
        <v>274214966.36</v>
      </c>
      <c r="J16" s="32">
        <f>SUM(J6:J15)</f>
        <v>49.04999999999999</v>
      </c>
      <c r="K16" s="29">
        <f>IF(C16&lt;&gt;0,0.6+0.4*($C$16/COUNT($A$6:$A$15))/(C16/COUNT($A$6:$A$15)),0)</f>
        <v>1</v>
      </c>
      <c r="L16" s="29">
        <f>IF(C16&lt;&gt;0,1+E16/C16,0)</f>
        <v>1.1643704765053822</v>
      </c>
      <c r="M16" s="29">
        <f>IF(C16&lt;&gt;0,1+D16/C16,0)</f>
        <v>1.4093096733899115</v>
      </c>
      <c r="N16" s="29">
        <f t="shared" si="2"/>
        <v>1</v>
      </c>
      <c r="O16" s="33">
        <f t="shared" si="3"/>
        <v>27219</v>
      </c>
      <c r="P16" s="33">
        <f t="shared" si="14"/>
        <v>44665.25147874646</v>
      </c>
      <c r="Q16" s="33">
        <f t="shared" si="4"/>
        <v>38360</v>
      </c>
      <c r="R16" s="33">
        <f t="shared" si="5"/>
        <v>27219</v>
      </c>
      <c r="S16" s="33">
        <f t="shared" si="6"/>
        <v>31692.999999999996</v>
      </c>
      <c r="T16" s="29">
        <f t="shared" si="7"/>
        <v>1</v>
      </c>
      <c r="U16" s="29">
        <f t="shared" si="8"/>
        <v>1</v>
      </c>
      <c r="V16" s="29">
        <f t="shared" si="9"/>
        <v>1</v>
      </c>
      <c r="W16" s="29">
        <f t="shared" si="10"/>
        <v>1</v>
      </c>
      <c r="X16" s="29">
        <f t="shared" si="11"/>
        <v>1</v>
      </c>
      <c r="Y16" s="29">
        <f t="shared" si="15"/>
        <v>1</v>
      </c>
    </row>
    <row r="17" spans="3:25" ht="11.2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3:25" ht="11.25"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3:25" ht="11.25"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</sheetData>
  <sheetProtection/>
  <mergeCells count="10">
    <mergeCell ref="O3:S3"/>
    <mergeCell ref="T3:X3"/>
    <mergeCell ref="Y3:Y4"/>
    <mergeCell ref="K3:N3"/>
    <mergeCell ref="A3:A4"/>
    <mergeCell ref="C3:C4"/>
    <mergeCell ref="B3:B4"/>
    <mergeCell ref="B1:N1"/>
    <mergeCell ref="F3:G3"/>
    <mergeCell ref="E3:E4"/>
  </mergeCells>
  <printOptions horizontalCentered="1" verticalCentered="1"/>
  <pageMargins left="0.31496062992125984" right="0.1968503937007874" top="0.1968503937007874" bottom="0.1968503937007874" header="0.15748031496062992" footer="0.15748031496062992"/>
  <pageSetup horizontalDpi="600" verticalDpi="600" orientation="landscape" paperSize="9" scale="85" r:id="rId1"/>
  <colBreaks count="1" manualBreakCount="1">
    <brk id="14" max="4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7" sqref="D27"/>
    </sheetView>
  </sheetViews>
  <sheetFormatPr defaultColWidth="8.00390625" defaultRowHeight="12.75"/>
  <cols>
    <col min="1" max="1" width="3.25390625" style="1" customWidth="1"/>
    <col min="2" max="2" width="22.125" style="1" customWidth="1"/>
    <col min="3" max="3" width="10.875" style="1" customWidth="1"/>
    <col min="4" max="24" width="12.00390625" style="1" customWidth="1"/>
    <col min="25" max="16384" width="8.00390625" style="1" customWidth="1"/>
  </cols>
  <sheetData>
    <row r="1" spans="3:24" ht="27" customHeight="1">
      <c r="C1" s="61" t="s">
        <v>73</v>
      </c>
      <c r="D1" s="61"/>
      <c r="E1" s="61"/>
      <c r="F1" s="61"/>
      <c r="G1" s="61"/>
      <c r="H1" s="61"/>
      <c r="I1" s="61"/>
      <c r="J1" s="61"/>
      <c r="K1" s="6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3" spans="1:24" ht="30.75" customHeight="1">
      <c r="A3" s="69" t="s">
        <v>0</v>
      </c>
      <c r="B3" s="69" t="s">
        <v>1</v>
      </c>
      <c r="C3" s="70" t="s">
        <v>2</v>
      </c>
      <c r="D3" s="69" t="s">
        <v>3</v>
      </c>
      <c r="E3" s="69"/>
      <c r="F3" s="69"/>
      <c r="G3" s="69"/>
      <c r="H3" s="69" t="s">
        <v>4</v>
      </c>
      <c r="I3" s="69"/>
      <c r="J3" s="69"/>
      <c r="K3" s="69"/>
      <c r="L3" s="69" t="s">
        <v>5</v>
      </c>
      <c r="M3" s="69"/>
      <c r="N3" s="69"/>
      <c r="O3" s="69"/>
      <c r="P3" s="69" t="s">
        <v>6</v>
      </c>
      <c r="Q3" s="69"/>
      <c r="R3" s="69"/>
      <c r="S3" s="69"/>
      <c r="T3" s="68" t="s">
        <v>7</v>
      </c>
      <c r="U3" s="68" t="s">
        <v>44</v>
      </c>
      <c r="V3" s="68" t="s">
        <v>45</v>
      </c>
      <c r="W3" s="68" t="s">
        <v>46</v>
      </c>
      <c r="X3" s="68" t="s">
        <v>47</v>
      </c>
    </row>
    <row r="4" spans="1:24" ht="90" customHeight="1">
      <c r="A4" s="69"/>
      <c r="B4" s="69"/>
      <c r="C4" s="70"/>
      <c r="D4" s="3" t="s">
        <v>8</v>
      </c>
      <c r="E4" s="46" t="s">
        <v>59</v>
      </c>
      <c r="F4" s="3" t="s">
        <v>9</v>
      </c>
      <c r="G4" s="3" t="str">
        <f>"Налоговый потенциал по репрезента-тивной налоговой ставке  "&amp;FIXED(F16,6)&amp;", контингент"</f>
        <v>Налоговый потенциал по репрезента-тивной налоговой ставке  0,130000, контингент</v>
      </c>
      <c r="H4" s="3" t="s">
        <v>12</v>
      </c>
      <c r="I4" s="46" t="s">
        <v>60</v>
      </c>
      <c r="J4" s="3" t="s">
        <v>9</v>
      </c>
      <c r="K4" s="3" t="str">
        <f>"Налоговый потенциал по репрезента-тивной налоговой ставке  "&amp;FIXED(J16,6)&amp;", контингент"</f>
        <v>Налоговый потенциал по репрезента-тивной налоговой ставке  0,002859, контингент</v>
      </c>
      <c r="L4" s="3" t="s">
        <v>12</v>
      </c>
      <c r="M4" s="46" t="s">
        <v>60</v>
      </c>
      <c r="N4" s="3" t="s">
        <v>9</v>
      </c>
      <c r="O4" s="3" t="str">
        <f>"Налоговый потенциал по репрезента-тивной налоговой ставке  "&amp;FIXED(N16,6)&amp;", контингент"</f>
        <v>Налоговый потенциал по репрезента-тивной налоговой ставке  0,003000, контингент</v>
      </c>
      <c r="P4" s="3" t="s">
        <v>12</v>
      </c>
      <c r="Q4" s="46" t="s">
        <v>61</v>
      </c>
      <c r="R4" s="3" t="s">
        <v>9</v>
      </c>
      <c r="S4" s="3" t="str">
        <f>"Налоговый потенциал по репрезента-тивной налоговой ставке  "&amp;FIXED(R16,6)&amp;", контингент"</f>
        <v>Налоговый потенциал по репрезента-тивной налоговой ставке  0,030000, контингент</v>
      </c>
      <c r="T4" s="68"/>
      <c r="U4" s="68"/>
      <c r="V4" s="68"/>
      <c r="W4" s="68"/>
      <c r="X4" s="68"/>
    </row>
    <row r="5" spans="1:24" s="5" customFormat="1" ht="11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2.75">
      <c r="A6" s="6">
        <v>1</v>
      </c>
      <c r="B6" s="7" t="s">
        <v>48</v>
      </c>
      <c r="C6" s="49">
        <v>9293</v>
      </c>
      <c r="D6" s="71">
        <v>789494.7</v>
      </c>
      <c r="E6" s="71"/>
      <c r="F6" s="55" t="s">
        <v>10</v>
      </c>
      <c r="G6" s="53">
        <f aca="true" t="shared" si="0" ref="G6:G15">D6*$F$16*0.1</f>
        <v>10263.431100000002</v>
      </c>
      <c r="H6" s="71">
        <v>906366.7</v>
      </c>
      <c r="I6" s="71">
        <v>2719.1</v>
      </c>
      <c r="J6" s="10" t="s">
        <v>10</v>
      </c>
      <c r="K6" s="11">
        <f aca="true" t="shared" si="1" ref="K6:K15">H6*$J$16</f>
        <v>2591.381274371032</v>
      </c>
      <c r="L6" s="71">
        <v>2130966.7</v>
      </c>
      <c r="M6" s="71">
        <v>6392.9</v>
      </c>
      <c r="N6" s="10" t="s">
        <v>10</v>
      </c>
      <c r="O6" s="11">
        <f aca="true" t="shared" si="2" ref="O6:O15">L6*$N$16</f>
        <v>6392.900100000001</v>
      </c>
      <c r="P6" s="71">
        <v>10713.7</v>
      </c>
      <c r="Q6" s="71">
        <v>321.4</v>
      </c>
      <c r="R6" s="10" t="s">
        <v>10</v>
      </c>
      <c r="S6" s="11">
        <f aca="true" t="shared" si="3" ref="S6:S15">P6*$R$16</f>
        <v>321.4160937574289</v>
      </c>
      <c r="T6" s="11">
        <f aca="true" t="shared" si="4" ref="T6:T16">S6+O6+K6+G6</f>
        <v>19569.128568128464</v>
      </c>
      <c r="U6" s="45">
        <v>511.3</v>
      </c>
      <c r="V6" s="11">
        <f>T6+U6</f>
        <v>20080.428568128464</v>
      </c>
      <c r="W6" s="11">
        <f>IF(C6&lt;&gt;0,V6/C6,0)</f>
        <v>2.1608122853899134</v>
      </c>
      <c r="X6" s="36">
        <f aca="true" t="shared" si="5" ref="X6:X16">IF($W$16&lt;&gt;0,W6/$W$16,0)</f>
        <v>1.0854337358559119</v>
      </c>
    </row>
    <row r="7" spans="1:24" ht="12.75">
      <c r="A7" s="6">
        <v>2</v>
      </c>
      <c r="B7" s="7" t="s">
        <v>49</v>
      </c>
      <c r="C7" s="49">
        <v>5211</v>
      </c>
      <c r="D7" s="71">
        <v>223103.6</v>
      </c>
      <c r="E7" s="71"/>
      <c r="F7" s="55" t="s">
        <v>10</v>
      </c>
      <c r="G7" s="53">
        <f t="shared" si="0"/>
        <v>2900.3468000000003</v>
      </c>
      <c r="H7" s="71">
        <v>216666.7</v>
      </c>
      <c r="I7" s="71">
        <v>650</v>
      </c>
      <c r="J7" s="10" t="s">
        <v>10</v>
      </c>
      <c r="K7" s="11">
        <f t="shared" si="1"/>
        <v>619.4689513193348</v>
      </c>
      <c r="L7" s="71">
        <v>1167333.3</v>
      </c>
      <c r="M7" s="71">
        <v>3502</v>
      </c>
      <c r="N7" s="10" t="s">
        <v>10</v>
      </c>
      <c r="O7" s="11">
        <f t="shared" si="2"/>
        <v>3501.9999000000003</v>
      </c>
      <c r="P7" s="71">
        <v>23394</v>
      </c>
      <c r="Q7" s="71">
        <v>701.8</v>
      </c>
      <c r="R7" s="10" t="s">
        <v>10</v>
      </c>
      <c r="S7" s="11">
        <f t="shared" si="3"/>
        <v>701.8311225217516</v>
      </c>
      <c r="T7" s="11">
        <f t="shared" si="4"/>
        <v>7723.646773841087</v>
      </c>
      <c r="U7" s="45">
        <v>286.7</v>
      </c>
      <c r="V7" s="11">
        <f aca="true" t="shared" si="6" ref="V7:V15">T7+U7</f>
        <v>8010.346773841087</v>
      </c>
      <c r="W7" s="11">
        <f aca="true" t="shared" si="7" ref="W7:W16">IF(C7&lt;&gt;0,V7/C7,0)</f>
        <v>1.5371995344158678</v>
      </c>
      <c r="X7" s="36">
        <f t="shared" si="5"/>
        <v>0.7721763915720711</v>
      </c>
    </row>
    <row r="8" spans="1:24" ht="12.75">
      <c r="A8" s="6">
        <v>3</v>
      </c>
      <c r="B8" s="7" t="s">
        <v>50</v>
      </c>
      <c r="C8" s="49">
        <v>2522</v>
      </c>
      <c r="D8" s="71">
        <v>134900.6</v>
      </c>
      <c r="E8" s="71"/>
      <c r="F8" s="55" t="s">
        <v>10</v>
      </c>
      <c r="G8" s="53">
        <f t="shared" si="0"/>
        <v>1753.7078000000001</v>
      </c>
      <c r="H8" s="71">
        <v>286000</v>
      </c>
      <c r="I8" s="71">
        <v>585</v>
      </c>
      <c r="J8" s="10" t="s">
        <v>10</v>
      </c>
      <c r="K8" s="11">
        <f t="shared" si="1"/>
        <v>817.6988899416926</v>
      </c>
      <c r="L8" s="71">
        <v>825333.3</v>
      </c>
      <c r="M8" s="71">
        <v>2476</v>
      </c>
      <c r="N8" s="10" t="s">
        <v>10</v>
      </c>
      <c r="O8" s="11">
        <f t="shared" si="2"/>
        <v>2475.9999000000003</v>
      </c>
      <c r="P8" s="71">
        <v>26694.7</v>
      </c>
      <c r="Q8" s="71">
        <v>800.8</v>
      </c>
      <c r="R8" s="10" t="s">
        <v>10</v>
      </c>
      <c r="S8" s="11">
        <f t="shared" si="3"/>
        <v>800.8536918176201</v>
      </c>
      <c r="T8" s="11">
        <f t="shared" si="4"/>
        <v>5848.260281759313</v>
      </c>
      <c r="U8" s="45">
        <v>138.7</v>
      </c>
      <c r="V8" s="11">
        <f t="shared" si="6"/>
        <v>5986.960281759313</v>
      </c>
      <c r="W8" s="11">
        <f t="shared" si="7"/>
        <v>2.373893846851433</v>
      </c>
      <c r="X8" s="36">
        <f t="shared" si="5"/>
        <v>1.1924702965340426</v>
      </c>
    </row>
    <row r="9" spans="1:24" ht="12.75">
      <c r="A9" s="6">
        <v>4</v>
      </c>
      <c r="B9" s="7" t="s">
        <v>51</v>
      </c>
      <c r="C9" s="49">
        <v>761</v>
      </c>
      <c r="D9" s="71">
        <v>43097.1</v>
      </c>
      <c r="E9" s="71"/>
      <c r="F9" s="55" t="s">
        <v>10</v>
      </c>
      <c r="G9" s="53">
        <f t="shared" si="0"/>
        <v>560.2623</v>
      </c>
      <c r="H9" s="71">
        <v>68666.7</v>
      </c>
      <c r="I9" s="71">
        <v>206</v>
      </c>
      <c r="J9" s="10" t="s">
        <v>10</v>
      </c>
      <c r="K9" s="11">
        <f t="shared" si="1"/>
        <v>196.32407120964763</v>
      </c>
      <c r="L9" s="71">
        <v>343333.3</v>
      </c>
      <c r="M9" s="71">
        <v>1030</v>
      </c>
      <c r="N9" s="10" t="s">
        <v>10</v>
      </c>
      <c r="O9" s="11">
        <f t="shared" si="2"/>
        <v>1029.9999</v>
      </c>
      <c r="P9" s="71">
        <v>23094.1</v>
      </c>
      <c r="Q9" s="71">
        <v>692.8</v>
      </c>
      <c r="R9" s="10" t="s">
        <v>10</v>
      </c>
      <c r="S9" s="11">
        <f t="shared" si="3"/>
        <v>692.8339799362906</v>
      </c>
      <c r="T9" s="11">
        <f t="shared" si="4"/>
        <v>2479.420251145938</v>
      </c>
      <c r="U9" s="45">
        <v>41.9</v>
      </c>
      <c r="V9" s="11">
        <f t="shared" si="6"/>
        <v>2521.320251145938</v>
      </c>
      <c r="W9" s="11">
        <f t="shared" si="7"/>
        <v>3.3131672156976846</v>
      </c>
      <c r="X9" s="36">
        <f t="shared" si="5"/>
        <v>1.6642924018738339</v>
      </c>
    </row>
    <row r="10" spans="1:24" ht="12.75">
      <c r="A10" s="6">
        <v>5</v>
      </c>
      <c r="B10" s="7" t="s">
        <v>52</v>
      </c>
      <c r="C10" s="49">
        <v>2011</v>
      </c>
      <c r="D10" s="71">
        <v>80661</v>
      </c>
      <c r="E10" s="71"/>
      <c r="F10" s="55" t="s">
        <v>10</v>
      </c>
      <c r="G10" s="53">
        <f t="shared" si="0"/>
        <v>1048.593</v>
      </c>
      <c r="H10" s="71">
        <v>103333.3</v>
      </c>
      <c r="I10" s="71">
        <v>310</v>
      </c>
      <c r="J10" s="10" t="s">
        <v>10</v>
      </c>
      <c r="K10" s="11">
        <f t="shared" si="1"/>
        <v>295.4388975664752</v>
      </c>
      <c r="L10" s="71">
        <v>726666.7</v>
      </c>
      <c r="M10" s="71">
        <v>2180</v>
      </c>
      <c r="N10" s="10" t="s">
        <v>10</v>
      </c>
      <c r="O10" s="11">
        <f t="shared" si="2"/>
        <v>2180.0000999999997</v>
      </c>
      <c r="P10" s="71">
        <v>2384.3</v>
      </c>
      <c r="Q10" s="71">
        <v>71.5</v>
      </c>
      <c r="R10" s="10" t="s">
        <v>10</v>
      </c>
      <c r="S10" s="11">
        <f t="shared" si="3"/>
        <v>71.53013359958162</v>
      </c>
      <c r="T10" s="11">
        <f t="shared" si="4"/>
        <v>3595.562131166056</v>
      </c>
      <c r="U10" s="45">
        <v>110.6</v>
      </c>
      <c r="V10" s="11">
        <f t="shared" si="6"/>
        <v>3706.162131166056</v>
      </c>
      <c r="W10" s="11">
        <f t="shared" si="7"/>
        <v>1.8429448688046026</v>
      </c>
      <c r="X10" s="36">
        <f t="shared" si="5"/>
        <v>0.9257604408529622</v>
      </c>
    </row>
    <row r="11" spans="1:24" ht="12.75">
      <c r="A11" s="6">
        <v>6</v>
      </c>
      <c r="B11" s="7" t="s">
        <v>53</v>
      </c>
      <c r="C11" s="49">
        <v>1812</v>
      </c>
      <c r="D11" s="71">
        <v>88211</v>
      </c>
      <c r="E11" s="71"/>
      <c r="F11" s="55" t="s">
        <v>10</v>
      </c>
      <c r="G11" s="53">
        <f t="shared" si="0"/>
        <v>1146.7430000000002</v>
      </c>
      <c r="H11" s="71">
        <v>88333.3</v>
      </c>
      <c r="I11" s="71">
        <v>265</v>
      </c>
      <c r="J11" s="10" t="s">
        <v>10</v>
      </c>
      <c r="K11" s="11">
        <f t="shared" si="1"/>
        <v>252.55259214995286</v>
      </c>
      <c r="L11" s="71">
        <v>602666.7</v>
      </c>
      <c r="M11" s="71">
        <v>1808</v>
      </c>
      <c r="N11" s="10" t="s">
        <v>10</v>
      </c>
      <c r="O11" s="11">
        <f t="shared" si="2"/>
        <v>1808.0001</v>
      </c>
      <c r="P11" s="71">
        <v>56376.2</v>
      </c>
      <c r="Q11" s="71">
        <v>1691.3</v>
      </c>
      <c r="R11" s="10" t="s">
        <v>10</v>
      </c>
      <c r="S11" s="11">
        <f t="shared" si="3"/>
        <v>1691.3128036894404</v>
      </c>
      <c r="T11" s="11">
        <f t="shared" si="4"/>
        <v>4898.608495839394</v>
      </c>
      <c r="U11" s="45">
        <v>99.7</v>
      </c>
      <c r="V11" s="11">
        <f t="shared" si="6"/>
        <v>4998.308495839394</v>
      </c>
      <c r="W11" s="11">
        <f t="shared" si="7"/>
        <v>2.7584483972623586</v>
      </c>
      <c r="X11" s="36">
        <f t="shared" si="5"/>
        <v>1.3856423203674786</v>
      </c>
    </row>
    <row r="12" spans="1:24" ht="12.75">
      <c r="A12" s="6">
        <v>7</v>
      </c>
      <c r="B12" s="7" t="s">
        <v>54</v>
      </c>
      <c r="C12" s="49">
        <v>893</v>
      </c>
      <c r="D12" s="71">
        <v>20114</v>
      </c>
      <c r="E12" s="71"/>
      <c r="F12" s="55" t="s">
        <v>10</v>
      </c>
      <c r="G12" s="53">
        <f t="shared" si="0"/>
        <v>261.482</v>
      </c>
      <c r="H12" s="71">
        <v>31000</v>
      </c>
      <c r="I12" s="71">
        <v>93</v>
      </c>
      <c r="J12" s="10" t="s">
        <v>10</v>
      </c>
      <c r="K12" s="11">
        <f t="shared" si="1"/>
        <v>88.63169786081284</v>
      </c>
      <c r="L12" s="71">
        <v>327000</v>
      </c>
      <c r="M12" s="71">
        <v>981</v>
      </c>
      <c r="N12" s="10" t="s">
        <v>10</v>
      </c>
      <c r="O12" s="11">
        <f t="shared" si="2"/>
        <v>981</v>
      </c>
      <c r="P12" s="71">
        <v>48.5</v>
      </c>
      <c r="Q12" s="71">
        <v>1.5</v>
      </c>
      <c r="R12" s="10" t="s">
        <v>10</v>
      </c>
      <c r="S12" s="11">
        <f t="shared" si="3"/>
        <v>1.45502305900252</v>
      </c>
      <c r="T12" s="11">
        <f t="shared" si="4"/>
        <v>1332.5687209198154</v>
      </c>
      <c r="U12" s="45">
        <v>49.1</v>
      </c>
      <c r="V12" s="11">
        <f t="shared" si="6"/>
        <v>1381.6687209198153</v>
      </c>
      <c r="W12" s="11">
        <f t="shared" si="7"/>
        <v>1.5472214120042724</v>
      </c>
      <c r="X12" s="36">
        <f t="shared" si="5"/>
        <v>0.7772106484136411</v>
      </c>
    </row>
    <row r="13" spans="1:24" ht="12.75">
      <c r="A13" s="6">
        <v>8</v>
      </c>
      <c r="B13" s="7" t="s">
        <v>55</v>
      </c>
      <c r="C13" s="49">
        <v>2013</v>
      </c>
      <c r="D13" s="71">
        <v>75800</v>
      </c>
      <c r="E13" s="71"/>
      <c r="F13" s="55" t="s">
        <v>10</v>
      </c>
      <c r="G13" s="53">
        <f t="shared" si="0"/>
        <v>985.4000000000001</v>
      </c>
      <c r="H13" s="71">
        <v>95000</v>
      </c>
      <c r="I13" s="71">
        <v>285</v>
      </c>
      <c r="J13" s="10" t="s">
        <v>10</v>
      </c>
      <c r="K13" s="11">
        <f t="shared" si="1"/>
        <v>271.61326763797484</v>
      </c>
      <c r="L13" s="71">
        <v>701000</v>
      </c>
      <c r="M13" s="71">
        <v>2103</v>
      </c>
      <c r="N13" s="10" t="s">
        <v>10</v>
      </c>
      <c r="O13" s="11">
        <f t="shared" si="2"/>
        <v>2103</v>
      </c>
      <c r="P13" s="71">
        <v>19979.6</v>
      </c>
      <c r="Q13" s="71">
        <v>599.4</v>
      </c>
      <c r="R13" s="10" t="s">
        <v>10</v>
      </c>
      <c r="S13" s="11">
        <f t="shared" si="3"/>
        <v>599.3974991679742</v>
      </c>
      <c r="T13" s="11">
        <f t="shared" si="4"/>
        <v>3959.410766805949</v>
      </c>
      <c r="U13" s="45">
        <v>110.7</v>
      </c>
      <c r="V13" s="11">
        <f t="shared" si="6"/>
        <v>4070.110766805949</v>
      </c>
      <c r="W13" s="11">
        <f t="shared" si="7"/>
        <v>2.02191294923296</v>
      </c>
      <c r="X13" s="36">
        <f t="shared" si="5"/>
        <v>1.0156608886853662</v>
      </c>
    </row>
    <row r="14" spans="1:24" ht="12.75">
      <c r="A14" s="6">
        <v>9</v>
      </c>
      <c r="B14" s="7" t="s">
        <v>56</v>
      </c>
      <c r="C14" s="49">
        <v>734</v>
      </c>
      <c r="D14" s="71">
        <v>41568</v>
      </c>
      <c r="E14" s="71"/>
      <c r="F14" s="55" t="s">
        <v>10</v>
      </c>
      <c r="G14" s="53">
        <f t="shared" si="0"/>
        <v>540.384</v>
      </c>
      <c r="H14" s="71">
        <v>23666.7</v>
      </c>
      <c r="I14" s="71">
        <v>71</v>
      </c>
      <c r="J14" s="10" t="s">
        <v>10</v>
      </c>
      <c r="K14" s="11">
        <f t="shared" si="1"/>
        <v>67.66515496008061</v>
      </c>
      <c r="L14" s="71">
        <v>160000</v>
      </c>
      <c r="M14" s="71">
        <v>480</v>
      </c>
      <c r="N14" s="10" t="s">
        <v>10</v>
      </c>
      <c r="O14" s="11">
        <f t="shared" si="2"/>
        <v>480</v>
      </c>
      <c r="P14" s="71">
        <v>382</v>
      </c>
      <c r="Q14" s="71">
        <v>11.6</v>
      </c>
      <c r="R14" s="10" t="s">
        <v>10</v>
      </c>
      <c r="S14" s="11">
        <f t="shared" si="3"/>
        <v>11.460181619360055</v>
      </c>
      <c r="T14" s="11">
        <f t="shared" si="4"/>
        <v>1099.5093365794407</v>
      </c>
      <c r="U14" s="45">
        <v>40.4</v>
      </c>
      <c r="V14" s="11">
        <f t="shared" si="6"/>
        <v>1139.9093365794408</v>
      </c>
      <c r="W14" s="11">
        <f t="shared" si="7"/>
        <v>1.5530099953398377</v>
      </c>
      <c r="X14" s="36">
        <f t="shared" si="5"/>
        <v>0.7801184084618963</v>
      </c>
    </row>
    <row r="15" spans="1:24" ht="12.75">
      <c r="A15" s="6">
        <v>10</v>
      </c>
      <c r="B15" s="7" t="s">
        <v>57</v>
      </c>
      <c r="C15" s="49">
        <v>1969</v>
      </c>
      <c r="D15" s="71">
        <v>70100</v>
      </c>
      <c r="E15" s="71"/>
      <c r="F15" s="55" t="s">
        <v>10</v>
      </c>
      <c r="G15" s="53">
        <f t="shared" si="0"/>
        <v>911.3000000000001</v>
      </c>
      <c r="H15" s="71">
        <v>118333.3</v>
      </c>
      <c r="I15" s="71">
        <v>355</v>
      </c>
      <c r="J15" s="10" t="s">
        <v>10</v>
      </c>
      <c r="K15" s="11">
        <f t="shared" si="1"/>
        <v>338.32520298299755</v>
      </c>
      <c r="L15" s="71">
        <v>301000</v>
      </c>
      <c r="M15" s="71">
        <v>903</v>
      </c>
      <c r="N15" s="10" t="s">
        <v>10</v>
      </c>
      <c r="O15" s="11">
        <f t="shared" si="2"/>
        <v>903</v>
      </c>
      <c r="P15" s="71">
        <v>990.3</v>
      </c>
      <c r="Q15" s="71">
        <v>29.7</v>
      </c>
      <c r="R15" s="10" t="s">
        <v>10</v>
      </c>
      <c r="S15" s="11">
        <f t="shared" si="3"/>
        <v>29.709470831550423</v>
      </c>
      <c r="T15" s="11">
        <f t="shared" si="4"/>
        <v>2182.3346738145483</v>
      </c>
      <c r="U15" s="45">
        <v>108.3</v>
      </c>
      <c r="V15" s="11">
        <f t="shared" si="6"/>
        <v>2290.6346738145485</v>
      </c>
      <c r="W15" s="11">
        <f t="shared" si="7"/>
        <v>1.1633492502867184</v>
      </c>
      <c r="X15" s="36">
        <f t="shared" si="5"/>
        <v>0.5843814066505221</v>
      </c>
    </row>
    <row r="16" spans="1:24" ht="12.75">
      <c r="A16" s="12"/>
      <c r="B16" s="13" t="s">
        <v>11</v>
      </c>
      <c r="C16" s="13">
        <f>SUM(C6:C15)</f>
        <v>27219</v>
      </c>
      <c r="D16" s="14">
        <f>SUM(D6:D15)</f>
        <v>1567050</v>
      </c>
      <c r="E16" s="14">
        <v>203716.5</v>
      </c>
      <c r="F16" s="13">
        <f>IF(D16&lt;&gt;0,E16/D16,0)</f>
        <v>0.13</v>
      </c>
      <c r="G16" s="14">
        <f>SUM(G6:G15)</f>
        <v>20371.649999999998</v>
      </c>
      <c r="H16" s="14">
        <f>SUM(H6:H15)</f>
        <v>1937366.7</v>
      </c>
      <c r="I16" s="14">
        <f>SUM(I6:I15)</f>
        <v>5539.1</v>
      </c>
      <c r="J16" s="13">
        <f>IF(H16&lt;&gt;0,I16/H16,0)</f>
        <v>0.002859087027768156</v>
      </c>
      <c r="K16" s="14">
        <f>SUM(K6:K15)</f>
        <v>5539.100000000001</v>
      </c>
      <c r="L16" s="14">
        <f>SUM(L6:L15)</f>
        <v>7285300</v>
      </c>
      <c r="M16" s="14">
        <f>SUM(M6:M15)</f>
        <v>21855.9</v>
      </c>
      <c r="N16" s="13">
        <f>IF(L16&lt;&gt;0,M16/L16,0)</f>
        <v>0.003</v>
      </c>
      <c r="O16" s="14">
        <f>SUM(O6:O15)</f>
        <v>21855.9</v>
      </c>
      <c r="P16" s="14">
        <f>P6+P7+P8+P9+P10+P11+P12+P13++P14+P15</f>
        <v>164057.4</v>
      </c>
      <c r="Q16" s="14">
        <f>SUM(Q6:Q15)</f>
        <v>4921.8</v>
      </c>
      <c r="R16" s="13">
        <f>IF(P16&lt;&gt;0,Q16/P16,0)</f>
        <v>0.030000475443350928</v>
      </c>
      <c r="S16" s="14">
        <f>SUM(S6:S15)</f>
        <v>4921.8</v>
      </c>
      <c r="T16" s="14">
        <f t="shared" si="4"/>
        <v>52688.45</v>
      </c>
      <c r="U16" s="14">
        <f>SUM(U6:U15)</f>
        <v>1497.4</v>
      </c>
      <c r="V16" s="14">
        <f>U16+T16</f>
        <v>54185.85</v>
      </c>
      <c r="W16" s="42">
        <f t="shared" si="7"/>
        <v>1.9907362504133141</v>
      </c>
      <c r="X16" s="14">
        <f t="shared" si="5"/>
        <v>1</v>
      </c>
    </row>
  </sheetData>
  <sheetProtection/>
  <mergeCells count="13">
    <mergeCell ref="C1:K1"/>
    <mergeCell ref="T3:T4"/>
    <mergeCell ref="C3:C4"/>
    <mergeCell ref="W3:W4"/>
    <mergeCell ref="X3:X4"/>
    <mergeCell ref="A3:A4"/>
    <mergeCell ref="B3:B4"/>
    <mergeCell ref="D3:G3"/>
    <mergeCell ref="H3:K3"/>
    <mergeCell ref="L3:O3"/>
    <mergeCell ref="P3:S3"/>
    <mergeCell ref="U3:U4"/>
    <mergeCell ref="V3:V4"/>
  </mergeCells>
  <printOptions horizontalCentered="1" verticalCentered="1"/>
  <pageMargins left="0.31496062992125984" right="0.1968503937007874" top="0.1968503937007874" bottom="0.1968503937007874" header="0.15748031496062992" footer="0.15748031496062992"/>
  <pageSetup horizontalDpi="600" verticalDpi="600" orientation="landscape" paperSize="9" scale="70" r:id="rId1"/>
  <colBreaks count="1" manualBreakCount="1">
    <brk id="15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zoomScale="110" zoomScaleNormal="110" zoomScaleSheetLayoutView="11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6" sqref="I6"/>
    </sheetView>
  </sheetViews>
  <sheetFormatPr defaultColWidth="8.00390625" defaultRowHeight="12.75"/>
  <cols>
    <col min="1" max="1" width="3.25390625" style="1" customWidth="1"/>
    <col min="2" max="2" width="22.125" style="1" customWidth="1"/>
    <col min="3" max="7" width="10.875" style="1" customWidth="1"/>
    <col min="8" max="8" width="9.875" style="1" customWidth="1"/>
    <col min="9" max="9" width="12.125" style="1" customWidth="1"/>
    <col min="10" max="10" width="10.625" style="1" customWidth="1"/>
    <col min="11" max="11" width="10.125" style="1" customWidth="1"/>
    <col min="12" max="12" width="9.25390625" style="1" customWidth="1"/>
    <col min="13" max="13" width="8.00390625" style="1" customWidth="1"/>
    <col min="14" max="14" width="9.00390625" style="1" customWidth="1"/>
    <col min="15" max="16384" width="8.00390625" style="1" customWidth="1"/>
  </cols>
  <sheetData>
    <row r="1" spans="3:8" ht="27" customHeight="1">
      <c r="C1" s="61" t="s">
        <v>71</v>
      </c>
      <c r="D1" s="61"/>
      <c r="E1" s="61"/>
      <c r="F1" s="61"/>
      <c r="G1" s="61"/>
      <c r="H1" s="61"/>
    </row>
    <row r="2" ht="12"/>
    <row r="3" spans="1:12" ht="30.75" customHeight="1">
      <c r="A3" s="69" t="s">
        <v>0</v>
      </c>
      <c r="B3" s="69" t="s">
        <v>1</v>
      </c>
      <c r="C3" s="70" t="s">
        <v>2</v>
      </c>
      <c r="D3" s="68" t="s">
        <v>47</v>
      </c>
      <c r="E3" s="66" t="s">
        <v>18</v>
      </c>
      <c r="F3" s="66" t="s">
        <v>14</v>
      </c>
      <c r="G3" s="66" t="s">
        <v>15</v>
      </c>
      <c r="H3" s="66" t="s">
        <v>17</v>
      </c>
      <c r="I3" s="62" t="s">
        <v>42</v>
      </c>
      <c r="J3" s="62" t="s">
        <v>40</v>
      </c>
      <c r="K3" s="66" t="s">
        <v>43</v>
      </c>
      <c r="L3" s="62" t="s">
        <v>41</v>
      </c>
    </row>
    <row r="4" spans="1:14" ht="90" customHeight="1">
      <c r="A4" s="69"/>
      <c r="B4" s="69"/>
      <c r="C4" s="70"/>
      <c r="D4" s="68"/>
      <c r="E4" s="67"/>
      <c r="F4" s="67"/>
      <c r="G4" s="67"/>
      <c r="H4" s="67"/>
      <c r="I4" s="62"/>
      <c r="J4" s="62"/>
      <c r="K4" s="67"/>
      <c r="L4" s="62"/>
      <c r="N4" s="48"/>
    </row>
    <row r="5" spans="1:12" s="5" customFormat="1" ht="12">
      <c r="A5" s="4"/>
      <c r="B5" s="4"/>
      <c r="C5" s="4"/>
      <c r="D5" s="4"/>
      <c r="E5" s="4"/>
      <c r="F5" s="4"/>
      <c r="G5" s="16">
        <v>0.7</v>
      </c>
      <c r="H5" s="16">
        <v>2357.6</v>
      </c>
      <c r="I5" s="4"/>
      <c r="J5" s="4"/>
      <c r="K5" s="4"/>
      <c r="L5" s="4"/>
    </row>
    <row r="6" spans="1:17" ht="12.75">
      <c r="A6" s="6">
        <v>1</v>
      </c>
      <c r="B6" s="7" t="s">
        <v>48</v>
      </c>
      <c r="C6" s="49">
        <v>9293</v>
      </c>
      <c r="D6" s="28">
        <f>'ИНП 2022'!X6</f>
        <v>1.0854337358559119</v>
      </c>
      <c r="E6" s="28">
        <f>'ИБР 2022'!Y6</f>
        <v>0.7724120232736013</v>
      </c>
      <c r="F6" s="36">
        <f>IF(E6&lt;&gt;0,D6/E6,0)</f>
        <v>1.405252252878815</v>
      </c>
      <c r="G6" s="17">
        <f aca="true" t="shared" si="0" ref="G6:G15">IF(F6&lt;$G$5,($G$5-F6)*E6*$G$18*C6/$C$16,0)</f>
        <v>0</v>
      </c>
      <c r="H6" s="17">
        <f aca="true" t="shared" si="1" ref="H6:H16">IF($G$16&lt;&gt;0,ROUND(G6/$G$16*$H$5,1),0)</f>
        <v>0</v>
      </c>
      <c r="I6" s="47">
        <f>23434+M6</f>
        <v>23945.3</v>
      </c>
      <c r="J6" s="40">
        <f>I6+H6</f>
        <v>23945.3</v>
      </c>
      <c r="K6" s="41">
        <v>23945.3</v>
      </c>
      <c r="L6" s="40">
        <f>J6-K6</f>
        <v>0</v>
      </c>
      <c r="M6" s="45">
        <v>511.3</v>
      </c>
      <c r="N6" s="50"/>
      <c r="P6" s="54"/>
      <c r="Q6" s="44"/>
    </row>
    <row r="7" spans="1:17" ht="14.25">
      <c r="A7" s="6">
        <v>2</v>
      </c>
      <c r="B7" s="7" t="s">
        <v>49</v>
      </c>
      <c r="C7" s="49">
        <v>5211</v>
      </c>
      <c r="D7" s="28">
        <f>'ИНП 2022'!X7</f>
        <v>0.7721763915720711</v>
      </c>
      <c r="E7" s="28">
        <f>'ИБР 2022'!Y7</f>
        <v>0.9086766293954155</v>
      </c>
      <c r="F7" s="36">
        <f aca="true" t="shared" si="2" ref="F7:F16">IF(E7&lt;&gt;0,D7/E7,0)</f>
        <v>0.8497812825733569</v>
      </c>
      <c r="G7" s="17">
        <f t="shared" si="0"/>
        <v>0</v>
      </c>
      <c r="H7" s="17">
        <f t="shared" si="1"/>
        <v>0</v>
      </c>
      <c r="I7" s="47">
        <f>9485.4+M7</f>
        <v>9772.1</v>
      </c>
      <c r="J7" s="40">
        <f aca="true" t="shared" si="3" ref="J7:J16">I7+H7</f>
        <v>9772.1</v>
      </c>
      <c r="K7" s="41">
        <v>9772.1</v>
      </c>
      <c r="L7" s="40">
        <f aca="true" t="shared" si="4" ref="L7:L16">J7-K7</f>
        <v>0</v>
      </c>
      <c r="M7" s="45">
        <v>286.7</v>
      </c>
      <c r="N7" s="51"/>
      <c r="P7" s="54"/>
      <c r="Q7" s="44"/>
    </row>
    <row r="8" spans="1:17" ht="14.25">
      <c r="A8" s="6">
        <v>3</v>
      </c>
      <c r="B8" s="7" t="s">
        <v>50</v>
      </c>
      <c r="C8" s="49">
        <v>2522</v>
      </c>
      <c r="D8" s="28">
        <f>'ИНП 2022'!X8</f>
        <v>1.1924702965340426</v>
      </c>
      <c r="E8" s="28">
        <f>'ИБР 2022'!Y8</f>
        <v>0.9739800637024418</v>
      </c>
      <c r="F8" s="36">
        <f t="shared" si="2"/>
        <v>1.2243272126136158</v>
      </c>
      <c r="G8" s="17">
        <f t="shared" si="0"/>
        <v>0</v>
      </c>
      <c r="H8" s="17">
        <f t="shared" si="1"/>
        <v>0</v>
      </c>
      <c r="I8" s="47">
        <f>7322.8+M8</f>
        <v>7461.5</v>
      </c>
      <c r="J8" s="40">
        <f t="shared" si="3"/>
        <v>7461.5</v>
      </c>
      <c r="K8" s="41">
        <v>7461.5</v>
      </c>
      <c r="L8" s="40">
        <f t="shared" si="4"/>
        <v>0</v>
      </c>
      <c r="M8" s="45">
        <v>138.7</v>
      </c>
      <c r="N8" s="51"/>
      <c r="P8" s="54"/>
      <c r="Q8" s="44"/>
    </row>
    <row r="9" spans="1:17" ht="14.25">
      <c r="A9" s="6">
        <v>4</v>
      </c>
      <c r="B9" s="7" t="s">
        <v>51</v>
      </c>
      <c r="C9" s="49">
        <v>761</v>
      </c>
      <c r="D9" s="28">
        <f>'ИНП 2022'!X9</f>
        <v>1.6642924018738339</v>
      </c>
      <c r="E9" s="28">
        <f>'ИБР 2022'!Y9</f>
        <v>1.908614716788732</v>
      </c>
      <c r="F9" s="36">
        <f t="shared" si="2"/>
        <v>0.8719897144427486</v>
      </c>
      <c r="G9" s="17">
        <f t="shared" si="0"/>
        <v>0</v>
      </c>
      <c r="H9" s="17">
        <f t="shared" si="1"/>
        <v>0</v>
      </c>
      <c r="I9" s="47">
        <f>3369.4+M9</f>
        <v>3411.3</v>
      </c>
      <c r="J9" s="40">
        <f t="shared" si="3"/>
        <v>3411.3</v>
      </c>
      <c r="K9" s="41">
        <v>3411.3</v>
      </c>
      <c r="L9" s="40">
        <f t="shared" si="4"/>
        <v>0</v>
      </c>
      <c r="M9" s="45">
        <v>41.9</v>
      </c>
      <c r="N9" s="51"/>
      <c r="P9" s="54"/>
      <c r="Q9" s="44"/>
    </row>
    <row r="10" spans="1:17" ht="14.25">
      <c r="A10" s="6">
        <v>5</v>
      </c>
      <c r="B10" s="7" t="s">
        <v>52</v>
      </c>
      <c r="C10" s="49">
        <v>2011</v>
      </c>
      <c r="D10" s="28">
        <f>'ИНП 2022'!X10</f>
        <v>0.9257604408529622</v>
      </c>
      <c r="E10" s="28">
        <f>'ИБР 2022'!Y10</f>
        <v>1.1844322330548658</v>
      </c>
      <c r="F10" s="36">
        <f t="shared" si="2"/>
        <v>0.7816069294781499</v>
      </c>
      <c r="G10" s="17">
        <f t="shared" si="0"/>
        <v>0</v>
      </c>
      <c r="H10" s="17">
        <f t="shared" si="1"/>
        <v>0</v>
      </c>
      <c r="I10" s="47">
        <f>5396.2+M10</f>
        <v>5506.8</v>
      </c>
      <c r="J10" s="40">
        <f t="shared" si="3"/>
        <v>5506.8</v>
      </c>
      <c r="K10" s="41">
        <v>5506.8</v>
      </c>
      <c r="L10" s="40">
        <f t="shared" si="4"/>
        <v>0</v>
      </c>
      <c r="M10" s="45">
        <v>110.6</v>
      </c>
      <c r="N10" s="51"/>
      <c r="P10" s="54"/>
      <c r="Q10" s="44"/>
    </row>
    <row r="11" spans="1:17" ht="14.25">
      <c r="A11" s="6">
        <v>6</v>
      </c>
      <c r="B11" s="7" t="s">
        <v>53</v>
      </c>
      <c r="C11" s="49">
        <v>1812</v>
      </c>
      <c r="D11" s="28">
        <f>'ИНП 2022'!X11</f>
        <v>1.3856423203674786</v>
      </c>
      <c r="E11" s="28">
        <f>'ИБР 2022'!Y11</f>
        <v>1.178194178587914</v>
      </c>
      <c r="F11" s="36">
        <f t="shared" si="2"/>
        <v>1.1760729644991073</v>
      </c>
      <c r="G11" s="17">
        <f t="shared" si="0"/>
        <v>0</v>
      </c>
      <c r="H11" s="17">
        <f t="shared" si="1"/>
        <v>0</v>
      </c>
      <c r="I11" s="47">
        <f>6276.8+M11</f>
        <v>6376.5</v>
      </c>
      <c r="J11" s="40">
        <f t="shared" si="3"/>
        <v>6376.5</v>
      </c>
      <c r="K11" s="41">
        <v>6376.5</v>
      </c>
      <c r="L11" s="40">
        <f t="shared" si="4"/>
        <v>0</v>
      </c>
      <c r="M11" s="45">
        <v>99.7</v>
      </c>
      <c r="N11" s="51"/>
      <c r="P11" s="54"/>
      <c r="Q11" s="44"/>
    </row>
    <row r="12" spans="1:17" ht="14.25">
      <c r="A12" s="6">
        <v>7</v>
      </c>
      <c r="B12" s="7" t="s">
        <v>54</v>
      </c>
      <c r="C12" s="49">
        <v>893</v>
      </c>
      <c r="D12" s="28">
        <f>'ИНП 2022'!X12</f>
        <v>0.7772106484136411</v>
      </c>
      <c r="E12" s="28">
        <f>'ИБР 2022'!Y12</f>
        <v>1.498678055232363</v>
      </c>
      <c r="F12" s="36">
        <f t="shared" si="2"/>
        <v>0.5185974704174461</v>
      </c>
      <c r="G12" s="17">
        <f t="shared" si="0"/>
        <v>604.8724312197215</v>
      </c>
      <c r="H12" s="17">
        <f t="shared" si="1"/>
        <v>604.9</v>
      </c>
      <c r="I12" s="47">
        <f>1934.5+M12</f>
        <v>1983.6</v>
      </c>
      <c r="J12" s="40">
        <f t="shared" si="3"/>
        <v>2588.5</v>
      </c>
      <c r="K12" s="41">
        <v>2556.5</v>
      </c>
      <c r="L12" s="40">
        <f t="shared" si="4"/>
        <v>32</v>
      </c>
      <c r="M12" s="45">
        <v>49.1</v>
      </c>
      <c r="N12" s="51"/>
      <c r="P12" s="54"/>
      <c r="Q12" s="44"/>
    </row>
    <row r="13" spans="1:17" ht="14.25">
      <c r="A13" s="6">
        <v>8</v>
      </c>
      <c r="B13" s="7" t="s">
        <v>55</v>
      </c>
      <c r="C13" s="49">
        <v>2013</v>
      </c>
      <c r="D13" s="28">
        <f>'ИНП 2022'!X13</f>
        <v>1.0156608886853662</v>
      </c>
      <c r="E13" s="28">
        <f>'ИБР 2022'!Y13</f>
        <v>1.0308722132504167</v>
      </c>
      <c r="F13" s="36">
        <f t="shared" si="2"/>
        <v>0.985244219051081</v>
      </c>
      <c r="G13" s="17">
        <f t="shared" si="0"/>
        <v>0</v>
      </c>
      <c r="H13" s="17">
        <f t="shared" si="1"/>
        <v>0</v>
      </c>
      <c r="I13" s="47">
        <f>5850.7+M13</f>
        <v>5961.4</v>
      </c>
      <c r="J13" s="40">
        <f t="shared" si="3"/>
        <v>5961.4</v>
      </c>
      <c r="K13" s="41">
        <v>5961.4</v>
      </c>
      <c r="L13" s="40">
        <f t="shared" si="4"/>
        <v>0</v>
      </c>
      <c r="M13" s="45">
        <v>110.7</v>
      </c>
      <c r="N13" s="51"/>
      <c r="P13" s="54"/>
      <c r="Q13" s="44"/>
    </row>
    <row r="14" spans="1:17" ht="14.25">
      <c r="A14" s="6">
        <v>9</v>
      </c>
      <c r="B14" s="7" t="s">
        <v>56</v>
      </c>
      <c r="C14" s="49">
        <v>734</v>
      </c>
      <c r="D14" s="28">
        <f>'ИНП 2022'!X14</f>
        <v>0.7801184084618963</v>
      </c>
      <c r="E14" s="28">
        <f>'ИБР 2022'!Y14</f>
        <v>1.7308066758137999</v>
      </c>
      <c r="F14" s="36">
        <f t="shared" si="2"/>
        <v>0.45072532904063134</v>
      </c>
      <c r="G14" s="17">
        <f t="shared" si="0"/>
        <v>789.0116543791341</v>
      </c>
      <c r="H14" s="17">
        <f t="shared" si="1"/>
        <v>789</v>
      </c>
      <c r="I14" s="47">
        <f>1579.8+M14</f>
        <v>1620.2</v>
      </c>
      <c r="J14" s="40">
        <f t="shared" si="3"/>
        <v>2409.2</v>
      </c>
      <c r="K14" s="41">
        <v>2380.3</v>
      </c>
      <c r="L14" s="40">
        <f t="shared" si="4"/>
        <v>28.899999999999636</v>
      </c>
      <c r="M14" s="45">
        <v>40.4</v>
      </c>
      <c r="N14" s="51"/>
      <c r="P14" s="54"/>
      <c r="Q14" s="44"/>
    </row>
    <row r="15" spans="1:17" ht="14.25">
      <c r="A15" s="6">
        <v>10</v>
      </c>
      <c r="B15" s="7" t="s">
        <v>57</v>
      </c>
      <c r="C15" s="49">
        <v>1969</v>
      </c>
      <c r="D15" s="28">
        <f>'ИНП 2022'!X15</f>
        <v>0.5843814066505221</v>
      </c>
      <c r="E15" s="28">
        <f>'ИБР 2022'!Y15</f>
        <v>1.1154744494096382</v>
      </c>
      <c r="F15" s="36">
        <f t="shared" si="2"/>
        <v>0.5238859634658636</v>
      </c>
      <c r="G15" s="17">
        <f t="shared" si="0"/>
        <v>963.7401654160302</v>
      </c>
      <c r="H15" s="17">
        <f t="shared" si="1"/>
        <v>963.7</v>
      </c>
      <c r="I15" s="47">
        <f>3166.5+M15</f>
        <v>3274.8</v>
      </c>
      <c r="J15" s="40">
        <f t="shared" si="3"/>
        <v>4238.5</v>
      </c>
      <c r="K15" s="41">
        <v>4230.3</v>
      </c>
      <c r="L15" s="40">
        <f t="shared" si="4"/>
        <v>8.199999999999818</v>
      </c>
      <c r="M15" s="45">
        <v>108.3</v>
      </c>
      <c r="N15" s="51"/>
      <c r="P15" s="54"/>
      <c r="Q15" s="44"/>
    </row>
    <row r="16" spans="1:17" ht="14.25">
      <c r="A16" s="12"/>
      <c r="B16" s="13" t="s">
        <v>11</v>
      </c>
      <c r="C16" s="43">
        <f>SUM(C6:C15)</f>
        <v>27219</v>
      </c>
      <c r="D16" s="37">
        <f>'ИНП 2022'!X16</f>
        <v>1</v>
      </c>
      <c r="E16" s="37">
        <f>'ИБР 2022'!Y16</f>
        <v>1</v>
      </c>
      <c r="F16" s="38">
        <f t="shared" si="2"/>
        <v>1</v>
      </c>
      <c r="G16" s="39">
        <f>SUM(G6:G15)</f>
        <v>2357.624251014886</v>
      </c>
      <c r="H16" s="39">
        <f t="shared" si="1"/>
        <v>2357.6</v>
      </c>
      <c r="I16" s="39">
        <f>SUM(I6:I15)</f>
        <v>69313.50000000001</v>
      </c>
      <c r="J16" s="39">
        <f t="shared" si="3"/>
        <v>71671.10000000002</v>
      </c>
      <c r="K16" s="39">
        <f>SUM(K6:K15)</f>
        <v>71602.00000000001</v>
      </c>
      <c r="L16" s="39">
        <f t="shared" si="4"/>
        <v>69.10000000000582</v>
      </c>
      <c r="M16" s="1">
        <f>SUM(M6:M15)</f>
        <v>1497.4</v>
      </c>
      <c r="N16" s="51"/>
      <c r="P16" s="54"/>
      <c r="Q16" s="44"/>
    </row>
    <row r="17" spans="8:14" ht="14.25">
      <c r="H17" s="44"/>
      <c r="I17" s="44"/>
      <c r="N17" s="52"/>
    </row>
    <row r="18" spans="6:17" ht="14.25">
      <c r="F18" s="18" t="s">
        <v>16</v>
      </c>
      <c r="G18" s="9">
        <v>67816.1</v>
      </c>
      <c r="I18" s="44"/>
      <c r="L18" s="44"/>
      <c r="N18" s="52"/>
      <c r="Q18" s="44"/>
    </row>
    <row r="19" spans="9:14" ht="14.25">
      <c r="I19" s="44"/>
      <c r="L19" s="44"/>
      <c r="N19" s="51"/>
    </row>
    <row r="20" spans="7:8" ht="11.25">
      <c r="G20" s="44"/>
      <c r="H20" s="44"/>
    </row>
    <row r="21" ht="11.25">
      <c r="G21" s="44"/>
    </row>
  </sheetData>
  <sheetProtection/>
  <mergeCells count="13">
    <mergeCell ref="C1:H1"/>
    <mergeCell ref="C3:C4"/>
    <mergeCell ref="G3:G4"/>
    <mergeCell ref="H3:H4"/>
    <mergeCell ref="I3:I4"/>
    <mergeCell ref="J3:J4"/>
    <mergeCell ref="L3:L4"/>
    <mergeCell ref="K3:K4"/>
    <mergeCell ref="A3:A4"/>
    <mergeCell ref="B3:B4"/>
    <mergeCell ref="D3:D4"/>
    <mergeCell ref="E3:E4"/>
    <mergeCell ref="F3:F4"/>
  </mergeCells>
  <printOptions horizontalCentered="1" verticalCentered="1"/>
  <pageMargins left="0.31496062992125984" right="0.1968503937007874" top="0.1968503937007874" bottom="0.1968503937007874" header="0.15748031496062992" footer="0.15748031496062992"/>
  <pageSetup horizontalDpi="600" verticalDpi="600" orientation="landscape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26" sqref="O26"/>
    </sheetView>
  </sheetViews>
  <sheetFormatPr defaultColWidth="8.00390625" defaultRowHeight="12.75"/>
  <cols>
    <col min="1" max="1" width="3.25390625" style="1" customWidth="1"/>
    <col min="2" max="2" width="22.125" style="1" customWidth="1"/>
    <col min="3" max="5" width="8.75390625" style="19" customWidth="1"/>
    <col min="6" max="7" width="9.00390625" style="19" customWidth="1"/>
    <col min="8" max="10" width="8.75390625" style="19" hidden="1" customWidth="1"/>
    <col min="11" max="14" width="8.75390625" style="19" customWidth="1"/>
    <col min="15" max="15" width="9.875" style="19" customWidth="1"/>
    <col min="16" max="17" width="8.75390625" style="19" customWidth="1"/>
    <col min="18" max="18" width="9.625" style="19" customWidth="1"/>
    <col min="19" max="19" width="10.00390625" style="19" customWidth="1"/>
    <col min="20" max="25" width="8.75390625" style="19" customWidth="1"/>
    <col min="26" max="16384" width="8.00390625" style="1" customWidth="1"/>
  </cols>
  <sheetData>
    <row r="1" spans="2:25" ht="27" customHeight="1">
      <c r="B1" s="61" t="s">
        <v>70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11.25">
      <c r="Y2" s="1" t="s">
        <v>19</v>
      </c>
    </row>
    <row r="3" spans="1:25" ht="30.75" customHeight="1">
      <c r="A3" s="57" t="s">
        <v>0</v>
      </c>
      <c r="B3" s="57" t="s">
        <v>1</v>
      </c>
      <c r="C3" s="59" t="str">
        <f>'[2]МР_П'!C3</f>
        <v>Числен-ность постоян-ного населения, чел</v>
      </c>
      <c r="D3" s="20" t="s">
        <v>20</v>
      </c>
      <c r="E3" s="59" t="s">
        <v>21</v>
      </c>
      <c r="F3" s="62" t="s">
        <v>22</v>
      </c>
      <c r="G3" s="62"/>
      <c r="H3" s="21"/>
      <c r="I3" s="21"/>
      <c r="J3" s="21"/>
      <c r="K3" s="62" t="s">
        <v>23</v>
      </c>
      <c r="L3" s="62"/>
      <c r="M3" s="62"/>
      <c r="N3" s="62"/>
      <c r="O3" s="63" t="s">
        <v>24</v>
      </c>
      <c r="P3" s="64"/>
      <c r="Q3" s="64"/>
      <c r="R3" s="64"/>
      <c r="S3" s="65"/>
      <c r="T3" s="63" t="s">
        <v>25</v>
      </c>
      <c r="U3" s="64"/>
      <c r="V3" s="64"/>
      <c r="W3" s="64"/>
      <c r="X3" s="65"/>
      <c r="Y3" s="66" t="s">
        <v>13</v>
      </c>
    </row>
    <row r="4" spans="1:25" ht="56.25">
      <c r="A4" s="58"/>
      <c r="B4" s="58"/>
      <c r="C4" s="60"/>
      <c r="D4" s="20" t="s">
        <v>26</v>
      </c>
      <c r="E4" s="60"/>
      <c r="F4" s="20" t="s">
        <v>27</v>
      </c>
      <c r="G4" s="20" t="s">
        <v>28</v>
      </c>
      <c r="H4" s="22" t="s">
        <v>29</v>
      </c>
      <c r="I4" s="22" t="s">
        <v>30</v>
      </c>
      <c r="J4" s="22"/>
      <c r="K4" s="20" t="s">
        <v>31</v>
      </c>
      <c r="L4" s="20" t="s">
        <v>32</v>
      </c>
      <c r="M4" s="20" t="s">
        <v>33</v>
      </c>
      <c r="N4" s="20" t="s">
        <v>34</v>
      </c>
      <c r="O4" s="15" t="s">
        <v>35</v>
      </c>
      <c r="P4" s="15" t="s">
        <v>36</v>
      </c>
      <c r="Q4" s="15" t="s">
        <v>37</v>
      </c>
      <c r="R4" s="15" t="s">
        <v>38</v>
      </c>
      <c r="S4" s="15" t="s">
        <v>39</v>
      </c>
      <c r="T4" s="15" t="s">
        <v>35</v>
      </c>
      <c r="U4" s="15" t="s">
        <v>36</v>
      </c>
      <c r="V4" s="15" t="s">
        <v>37</v>
      </c>
      <c r="W4" s="15" t="s">
        <v>38</v>
      </c>
      <c r="X4" s="15" t="s">
        <v>39</v>
      </c>
      <c r="Y4" s="67"/>
    </row>
    <row r="5" spans="1:25" s="5" customFormat="1" ht="11.25">
      <c r="A5" s="4"/>
      <c r="B5" s="4"/>
      <c r="C5" s="4"/>
      <c r="D5" s="4"/>
      <c r="E5" s="4"/>
      <c r="F5" s="4"/>
      <c r="G5" s="4"/>
      <c r="H5" s="23"/>
      <c r="I5" s="23"/>
      <c r="J5" s="23"/>
      <c r="K5" s="4"/>
      <c r="L5" s="4"/>
      <c r="M5" s="4"/>
      <c r="N5" s="4"/>
      <c r="O5" s="4"/>
      <c r="P5" s="4"/>
      <c r="Q5" s="4"/>
      <c r="R5" s="4"/>
      <c r="S5" s="4"/>
      <c r="T5" s="24">
        <v>0.26</v>
      </c>
      <c r="U5" s="24">
        <v>0</v>
      </c>
      <c r="V5" s="24">
        <v>0</v>
      </c>
      <c r="W5" s="24">
        <v>0.35</v>
      </c>
      <c r="X5" s="24">
        <v>0.39</v>
      </c>
      <c r="Y5" s="4"/>
    </row>
    <row r="6" spans="1:25" ht="11.25">
      <c r="A6" s="6">
        <v>1</v>
      </c>
      <c r="B6" s="7" t="s">
        <v>48</v>
      </c>
      <c r="C6" s="49">
        <v>9293</v>
      </c>
      <c r="D6" s="8">
        <v>9293</v>
      </c>
      <c r="E6" s="8"/>
      <c r="F6" s="25">
        <v>2474.44</v>
      </c>
      <c r="G6" s="25">
        <v>49.05</v>
      </c>
      <c r="H6" s="26">
        <v>21467.3</v>
      </c>
      <c r="I6" s="26">
        <f aca="true" t="shared" si="0" ref="I6:I12">F6*H6</f>
        <v>53119545.812</v>
      </c>
      <c r="J6" s="27">
        <f>'ИБР 2023'!G6*'ИБР 2023'!H6/'ИБР 2023'!$H$16</f>
        <v>9.501719605843762</v>
      </c>
      <c r="K6" s="28">
        <f aca="true" t="shared" si="1" ref="K6:K15">IF(C6&lt;&gt;0,0.6+0.4*($C$16/COUNT($A$6:$A$15))/C6,0)</f>
        <v>0.7171591520499301</v>
      </c>
      <c r="L6" s="28">
        <f>IF(C6&lt;&gt;0,1+E6/C6,0)</f>
        <v>1</v>
      </c>
      <c r="M6" s="28">
        <f>IF(C6&lt;&gt;0,1+D6/C6,0)</f>
        <v>2</v>
      </c>
      <c r="N6" s="28">
        <f aca="true" t="shared" si="2" ref="N6:N16">IF($G$16&lt;&gt;0,0.9+0.1*(0.8*F6/$F$16+0.2*G6/$G$16),0)</f>
        <v>1</v>
      </c>
      <c r="O6" s="17">
        <f aca="true" t="shared" si="3" ref="O6:O16">C6*K6</f>
        <v>6664.56</v>
      </c>
      <c r="P6" s="17">
        <f>C6*L6*M6</f>
        <v>18586</v>
      </c>
      <c r="Q6" s="17">
        <f aca="true" t="shared" si="4" ref="Q6:Q16">C6*M6</f>
        <v>18586</v>
      </c>
      <c r="R6" s="17">
        <f aca="true" t="shared" si="5" ref="R6:R16">C6*K6*N6</f>
        <v>6664.56</v>
      </c>
      <c r="S6" s="17">
        <f aca="true" t="shared" si="6" ref="S6:S16">C6*L6</f>
        <v>9293</v>
      </c>
      <c r="T6" s="28">
        <f aca="true" t="shared" si="7" ref="T6:T16">IF(C6&lt;&gt;0,(O6/$C6)/(O$16/$C$16),0)</f>
        <v>0.7171591520499301</v>
      </c>
      <c r="U6" s="28">
        <f aca="true" t="shared" si="8" ref="U6:U16">IF(C6&lt;&gt;0,(P6/$C6)/(P$16/$C$16),0)</f>
        <v>1.2187998096440542</v>
      </c>
      <c r="V6" s="28">
        <f aca="true" t="shared" si="9" ref="V6:V16">IF(C6&lt;&gt;0,(Q6/$C6)/(Q$16/$C$16),0)</f>
        <v>1.4191345151199164</v>
      </c>
      <c r="W6" s="28">
        <f aca="true" t="shared" si="10" ref="W6:W16">IF(C6&lt;&gt;0,(R6/$C6)/(R$16/$C$16),0)</f>
        <v>0.7171591520499301</v>
      </c>
      <c r="X6" s="28">
        <f aca="true" t="shared" si="11" ref="X6:X16">IF(C6&lt;&gt;0,(S6/$C6)/(S$16/$C$16),0)</f>
        <v>0.8588331808285742</v>
      </c>
      <c r="Y6" s="29">
        <f>IF(SUM($T$5:$X$5)=1,T6*$T$5+U6*$U$5+V6*$V$5+W6*$W$5+X6*$X$5,0)</f>
        <v>0.7724120232736013</v>
      </c>
    </row>
    <row r="7" spans="1:25" ht="11.25">
      <c r="A7" s="6">
        <v>2</v>
      </c>
      <c r="B7" s="7" t="s">
        <v>49</v>
      </c>
      <c r="C7" s="49">
        <v>5211</v>
      </c>
      <c r="D7" s="8">
        <v>1848</v>
      </c>
      <c r="E7" s="8">
        <v>1249</v>
      </c>
      <c r="F7" s="25">
        <v>2474.44</v>
      </c>
      <c r="G7" s="25">
        <v>49.05</v>
      </c>
      <c r="H7" s="26">
        <v>13753.5</v>
      </c>
      <c r="I7" s="26">
        <f t="shared" si="0"/>
        <v>34032210.54</v>
      </c>
      <c r="J7" s="27">
        <f>'ИБР 2023'!G7*'ИБР 2023'!H7/'ИБР 2023'!$H$16</f>
        <v>6.087486577211489</v>
      </c>
      <c r="K7" s="28">
        <f t="shared" si="1"/>
        <v>0.8089349453080023</v>
      </c>
      <c r="L7" s="28">
        <f aca="true" t="shared" si="12" ref="L7:L15">IF(C7&lt;&gt;0,1+E7/C7,0)</f>
        <v>1.2396852811360584</v>
      </c>
      <c r="M7" s="28">
        <f aca="true" t="shared" si="13" ref="M7:M15">IF(C7&lt;&gt;0,1+D7/C7,0)</f>
        <v>1.3546344271732873</v>
      </c>
      <c r="N7" s="28">
        <f t="shared" si="2"/>
        <v>1</v>
      </c>
      <c r="O7" s="17">
        <f t="shared" si="3"/>
        <v>4215.36</v>
      </c>
      <c r="P7" s="17">
        <f aca="true" t="shared" si="14" ref="P7:P16">C7*L7*M7</f>
        <v>8750.938399539436</v>
      </c>
      <c r="Q7" s="17">
        <f t="shared" si="4"/>
        <v>7059</v>
      </c>
      <c r="R7" s="17">
        <f t="shared" si="5"/>
        <v>4215.36</v>
      </c>
      <c r="S7" s="17">
        <f t="shared" si="6"/>
        <v>6460</v>
      </c>
      <c r="T7" s="28">
        <f t="shared" si="7"/>
        <v>0.8089349453080023</v>
      </c>
      <c r="U7" s="28">
        <f t="shared" si="8"/>
        <v>1.023377667968289</v>
      </c>
      <c r="V7" s="28">
        <f t="shared" si="9"/>
        <v>0.9612042354856545</v>
      </c>
      <c r="W7" s="28">
        <f t="shared" si="10"/>
        <v>0.8089349453080023</v>
      </c>
      <c r="X7" s="28">
        <f t="shared" si="11"/>
        <v>1.0646828532244463</v>
      </c>
      <c r="Y7" s="29">
        <f aca="true" t="shared" si="15" ref="Y7:Y16">IF(SUM($T$5:$X$5)=1,T7*$T$5+U7*$U$5+V7*$V$5+W7*$W$5+X7*$X$5,0)</f>
        <v>0.9086766293954155</v>
      </c>
    </row>
    <row r="8" spans="1:25" ht="11.25">
      <c r="A8" s="6">
        <v>3</v>
      </c>
      <c r="B8" s="7" t="s">
        <v>50</v>
      </c>
      <c r="C8" s="49">
        <v>2522</v>
      </c>
      <c r="D8" s="8"/>
      <c r="E8" s="8">
        <v>73</v>
      </c>
      <c r="F8" s="25">
        <v>2474.44</v>
      </c>
      <c r="G8" s="25">
        <v>49.05</v>
      </c>
      <c r="H8" s="26">
        <v>16300</v>
      </c>
      <c r="I8" s="26">
        <f t="shared" si="0"/>
        <v>40333372</v>
      </c>
      <c r="J8" s="27">
        <f>'ИБР 2023'!G8*'ИБР 2023'!H8/'ИБР 2023'!$H$16</f>
        <v>7.214602189155289</v>
      </c>
      <c r="K8" s="28">
        <f t="shared" si="1"/>
        <v>1.031704996034893</v>
      </c>
      <c r="L8" s="28">
        <f t="shared" si="12"/>
        <v>1.028945281522601</v>
      </c>
      <c r="M8" s="28">
        <f t="shared" si="13"/>
        <v>1</v>
      </c>
      <c r="N8" s="28">
        <f t="shared" si="2"/>
        <v>1</v>
      </c>
      <c r="O8" s="17">
        <f t="shared" si="3"/>
        <v>2601.96</v>
      </c>
      <c r="P8" s="17">
        <f t="shared" si="14"/>
        <v>2594.9999999999995</v>
      </c>
      <c r="Q8" s="17">
        <f t="shared" si="4"/>
        <v>2522</v>
      </c>
      <c r="R8" s="17">
        <f t="shared" si="5"/>
        <v>2601.96</v>
      </c>
      <c r="S8" s="17">
        <f t="shared" si="6"/>
        <v>2594.9999999999995</v>
      </c>
      <c r="T8" s="28">
        <f t="shared" si="7"/>
        <v>1.031704996034893</v>
      </c>
      <c r="U8" s="28">
        <f t="shared" si="8"/>
        <v>0.627039156626947</v>
      </c>
      <c r="V8" s="28">
        <f t="shared" si="9"/>
        <v>0.7095672575599582</v>
      </c>
      <c r="W8" s="28">
        <f t="shared" si="10"/>
        <v>1.031704996034893</v>
      </c>
      <c r="X8" s="28">
        <f t="shared" si="11"/>
        <v>0.8836923490286082</v>
      </c>
      <c r="Y8" s="29">
        <f t="shared" si="15"/>
        <v>0.9739800637024418</v>
      </c>
    </row>
    <row r="9" spans="1:25" ht="11.25">
      <c r="A9" s="6">
        <v>4</v>
      </c>
      <c r="B9" s="7" t="s">
        <v>51</v>
      </c>
      <c r="C9" s="49">
        <v>761</v>
      </c>
      <c r="D9" s="8"/>
      <c r="E9" s="8">
        <v>761</v>
      </c>
      <c r="F9" s="25">
        <v>2474.44</v>
      </c>
      <c r="G9" s="25">
        <v>49.05</v>
      </c>
      <c r="H9" s="26"/>
      <c r="I9" s="26">
        <f t="shared" si="0"/>
        <v>0</v>
      </c>
      <c r="J9" s="27">
        <f>'ИБР 2023'!G9*'ИБР 2023'!H9/'ИБР 2023'!$H$16</f>
        <v>0</v>
      </c>
      <c r="K9" s="28">
        <f t="shared" si="1"/>
        <v>2.0306964520367936</v>
      </c>
      <c r="L9" s="28">
        <f t="shared" si="12"/>
        <v>2</v>
      </c>
      <c r="M9" s="28">
        <f t="shared" si="13"/>
        <v>1</v>
      </c>
      <c r="N9" s="28">
        <f t="shared" si="2"/>
        <v>1</v>
      </c>
      <c r="O9" s="17">
        <f t="shared" si="3"/>
        <v>1545.36</v>
      </c>
      <c r="P9" s="17">
        <f t="shared" si="14"/>
        <v>1522</v>
      </c>
      <c r="Q9" s="17">
        <f t="shared" si="4"/>
        <v>761</v>
      </c>
      <c r="R9" s="17">
        <f t="shared" si="5"/>
        <v>1545.36</v>
      </c>
      <c r="S9" s="17">
        <f t="shared" si="6"/>
        <v>1522</v>
      </c>
      <c r="T9" s="28">
        <f t="shared" si="7"/>
        <v>2.0306964520367936</v>
      </c>
      <c r="U9" s="28">
        <f t="shared" si="8"/>
        <v>1.2187998096440542</v>
      </c>
      <c r="V9" s="28">
        <f t="shared" si="9"/>
        <v>0.7095672575599582</v>
      </c>
      <c r="W9" s="28">
        <f t="shared" si="10"/>
        <v>2.0306964520367936</v>
      </c>
      <c r="X9" s="28">
        <f t="shared" si="11"/>
        <v>1.7176663616571484</v>
      </c>
      <c r="Y9" s="29">
        <f t="shared" si="15"/>
        <v>1.908614716788732</v>
      </c>
    </row>
    <row r="10" spans="1:25" ht="11.25">
      <c r="A10" s="6">
        <v>5</v>
      </c>
      <c r="B10" s="7" t="s">
        <v>52</v>
      </c>
      <c r="C10" s="49">
        <v>2011</v>
      </c>
      <c r="D10" s="8"/>
      <c r="E10" s="8">
        <v>920</v>
      </c>
      <c r="F10" s="25">
        <v>2474.44</v>
      </c>
      <c r="G10" s="25">
        <v>49.05</v>
      </c>
      <c r="H10" s="26">
        <v>20636.3</v>
      </c>
      <c r="I10" s="26">
        <f t="shared" si="0"/>
        <v>51063286.172</v>
      </c>
      <c r="J10" s="27">
        <f>'ИБР 2023'!G10*'ИБР 2023'!H10/'ИБР 2023'!$H$16</f>
        <v>9.133907678286214</v>
      </c>
      <c r="K10" s="28">
        <f t="shared" si="1"/>
        <v>1.1414022874191945</v>
      </c>
      <c r="L10" s="28">
        <f t="shared" si="12"/>
        <v>1.4574838388861262</v>
      </c>
      <c r="M10" s="28">
        <f t="shared" si="13"/>
        <v>1</v>
      </c>
      <c r="N10" s="28">
        <f t="shared" si="2"/>
        <v>1</v>
      </c>
      <c r="O10" s="17">
        <f t="shared" si="3"/>
        <v>2295.36</v>
      </c>
      <c r="P10" s="17">
        <f t="shared" si="14"/>
        <v>2931</v>
      </c>
      <c r="Q10" s="17">
        <f t="shared" si="4"/>
        <v>2011</v>
      </c>
      <c r="R10" s="17">
        <f t="shared" si="5"/>
        <v>2295.36</v>
      </c>
      <c r="S10" s="17">
        <f t="shared" si="6"/>
        <v>2931</v>
      </c>
      <c r="T10" s="28">
        <f t="shared" si="7"/>
        <v>1.1414022874191945</v>
      </c>
      <c r="U10" s="28">
        <f t="shared" si="8"/>
        <v>0.888190512696848</v>
      </c>
      <c r="V10" s="28">
        <f t="shared" si="9"/>
        <v>0.7095672575599582</v>
      </c>
      <c r="W10" s="28">
        <f t="shared" si="10"/>
        <v>1.1414022874191945</v>
      </c>
      <c r="X10" s="28">
        <f t="shared" si="11"/>
        <v>1.251735481356813</v>
      </c>
      <c r="Y10" s="29">
        <f t="shared" si="15"/>
        <v>1.1844322330548658</v>
      </c>
    </row>
    <row r="11" spans="1:25" ht="11.25">
      <c r="A11" s="6">
        <v>6</v>
      </c>
      <c r="B11" s="7" t="s">
        <v>53</v>
      </c>
      <c r="C11" s="49">
        <v>1812</v>
      </c>
      <c r="D11" s="8"/>
      <c r="E11" s="8">
        <v>599</v>
      </c>
      <c r="F11" s="25">
        <v>2474.44</v>
      </c>
      <c r="G11" s="25">
        <v>49.05</v>
      </c>
      <c r="H11" s="26">
        <v>5640</v>
      </c>
      <c r="I11" s="26">
        <f t="shared" si="0"/>
        <v>13955841.6</v>
      </c>
      <c r="J11" s="27">
        <f>'ИБР 2023'!G11*'ИБР 2023'!H11/'ИБР 2023'!$H$16</f>
        <v>2.4963408801739773</v>
      </c>
      <c r="K11" s="28">
        <f t="shared" si="1"/>
        <v>1.2008609271523178</v>
      </c>
      <c r="L11" s="28">
        <f t="shared" si="12"/>
        <v>1.3305739514348787</v>
      </c>
      <c r="M11" s="28">
        <f t="shared" si="13"/>
        <v>1</v>
      </c>
      <c r="N11" s="28">
        <f t="shared" si="2"/>
        <v>1</v>
      </c>
      <c r="O11" s="17">
        <f t="shared" si="3"/>
        <v>2175.96</v>
      </c>
      <c r="P11" s="17">
        <f t="shared" si="14"/>
        <v>2411</v>
      </c>
      <c r="Q11" s="17">
        <f t="shared" si="4"/>
        <v>1812</v>
      </c>
      <c r="R11" s="17">
        <f t="shared" si="5"/>
        <v>2175.96</v>
      </c>
      <c r="S11" s="17">
        <f t="shared" si="6"/>
        <v>2411</v>
      </c>
      <c r="T11" s="28">
        <f t="shared" si="7"/>
        <v>1.2008609271523178</v>
      </c>
      <c r="U11" s="28">
        <f t="shared" si="8"/>
        <v>0.8108516393630836</v>
      </c>
      <c r="V11" s="28">
        <f t="shared" si="9"/>
        <v>0.7095672575599582</v>
      </c>
      <c r="W11" s="28">
        <f t="shared" si="10"/>
        <v>1.2008609271523178</v>
      </c>
      <c r="X11" s="28">
        <f t="shared" si="11"/>
        <v>1.1427410590384617</v>
      </c>
      <c r="Y11" s="29">
        <f t="shared" si="15"/>
        <v>1.178194178587914</v>
      </c>
    </row>
    <row r="12" spans="1:25" ht="11.25">
      <c r="A12" s="6">
        <v>7</v>
      </c>
      <c r="B12" s="7" t="s">
        <v>54</v>
      </c>
      <c r="C12" s="49">
        <v>893</v>
      </c>
      <c r="D12" s="8"/>
      <c r="E12" s="8">
        <v>144</v>
      </c>
      <c r="F12" s="25">
        <v>2474.44</v>
      </c>
      <c r="G12" s="25">
        <v>49.05</v>
      </c>
      <c r="H12" s="26">
        <v>6002.5</v>
      </c>
      <c r="I12" s="26">
        <f t="shared" si="0"/>
        <v>14852826.1</v>
      </c>
      <c r="J12" s="27">
        <f>'ИБР 2023'!G12*'ИБР 2023'!H12/'ИБР 2023'!$H$16</f>
        <v>2.656788321497216</v>
      </c>
      <c r="K12" s="28">
        <f t="shared" si="1"/>
        <v>1.8192161254199326</v>
      </c>
      <c r="L12" s="28">
        <f t="shared" si="12"/>
        <v>1.1612541993281076</v>
      </c>
      <c r="M12" s="28">
        <f t="shared" si="13"/>
        <v>1</v>
      </c>
      <c r="N12" s="28">
        <f t="shared" si="2"/>
        <v>1</v>
      </c>
      <c r="O12" s="17">
        <f t="shared" si="3"/>
        <v>1624.5599999999997</v>
      </c>
      <c r="P12" s="17">
        <f t="shared" si="14"/>
        <v>1037</v>
      </c>
      <c r="Q12" s="17">
        <f t="shared" si="4"/>
        <v>893</v>
      </c>
      <c r="R12" s="17">
        <f t="shared" si="5"/>
        <v>1624.5599999999997</v>
      </c>
      <c r="S12" s="17">
        <f t="shared" si="6"/>
        <v>1037</v>
      </c>
      <c r="T12" s="28">
        <f t="shared" si="7"/>
        <v>1.8192161254199326</v>
      </c>
      <c r="U12" s="28">
        <f t="shared" si="8"/>
        <v>0.7076681985447281</v>
      </c>
      <c r="V12" s="28">
        <f t="shared" si="9"/>
        <v>0.7095672575599582</v>
      </c>
      <c r="W12" s="28">
        <f t="shared" si="10"/>
        <v>1.8192161254199326</v>
      </c>
      <c r="X12" s="28">
        <f t="shared" si="11"/>
        <v>0.9973236377594977</v>
      </c>
      <c r="Y12" s="29">
        <f t="shared" si="15"/>
        <v>1.498678055232363</v>
      </c>
    </row>
    <row r="13" spans="1:25" ht="11.25">
      <c r="A13" s="6">
        <v>8</v>
      </c>
      <c r="B13" s="7" t="s">
        <v>55</v>
      </c>
      <c r="C13" s="49">
        <v>2013</v>
      </c>
      <c r="D13" s="8"/>
      <c r="E13" s="8"/>
      <c r="F13" s="25">
        <v>2474.44</v>
      </c>
      <c r="G13" s="25">
        <v>49.05</v>
      </c>
      <c r="H13" s="26"/>
      <c r="I13" s="26"/>
      <c r="J13" s="27"/>
      <c r="K13" s="28">
        <f t="shared" si="1"/>
        <v>1.1408643815201192</v>
      </c>
      <c r="L13" s="28">
        <f t="shared" si="12"/>
        <v>1</v>
      </c>
      <c r="M13" s="28">
        <f t="shared" si="13"/>
        <v>1</v>
      </c>
      <c r="N13" s="28">
        <f t="shared" si="2"/>
        <v>1</v>
      </c>
      <c r="O13" s="17">
        <f t="shared" si="3"/>
        <v>2296.56</v>
      </c>
      <c r="P13" s="17">
        <f t="shared" si="14"/>
        <v>2013</v>
      </c>
      <c r="Q13" s="17">
        <f t="shared" si="4"/>
        <v>2013</v>
      </c>
      <c r="R13" s="17">
        <f t="shared" si="5"/>
        <v>2296.56</v>
      </c>
      <c r="S13" s="17">
        <f t="shared" si="6"/>
        <v>2013</v>
      </c>
      <c r="T13" s="28">
        <f t="shared" si="7"/>
        <v>1.1408643815201192</v>
      </c>
      <c r="U13" s="28">
        <f t="shared" si="8"/>
        <v>0.6093999048220271</v>
      </c>
      <c r="V13" s="28">
        <f t="shared" si="9"/>
        <v>0.7095672575599582</v>
      </c>
      <c r="W13" s="28">
        <f t="shared" si="10"/>
        <v>1.1408643815201192</v>
      </c>
      <c r="X13" s="28">
        <f t="shared" si="11"/>
        <v>0.8588331808285742</v>
      </c>
      <c r="Y13" s="29">
        <f t="shared" si="15"/>
        <v>1.0308722132504167</v>
      </c>
    </row>
    <row r="14" spans="1:25" ht="11.25">
      <c r="A14" s="6">
        <v>9</v>
      </c>
      <c r="B14" s="7" t="s">
        <v>56</v>
      </c>
      <c r="C14" s="49">
        <v>734</v>
      </c>
      <c r="D14" s="8"/>
      <c r="E14" s="8">
        <v>274</v>
      </c>
      <c r="F14" s="25">
        <v>2474.44</v>
      </c>
      <c r="G14" s="25">
        <v>49.05</v>
      </c>
      <c r="H14" s="26">
        <v>14166.2</v>
      </c>
      <c r="I14" s="26">
        <f>F14*H14</f>
        <v>35053411.928</v>
      </c>
      <c r="J14" s="27">
        <f>'ИБР 2023'!G14*'ИБР 2023'!H14/'ИБР 2023'!$H$16</f>
        <v>6.270153222822801</v>
      </c>
      <c r="K14" s="28">
        <f t="shared" si="1"/>
        <v>2.083324250681199</v>
      </c>
      <c r="L14" s="28">
        <f t="shared" si="12"/>
        <v>1.3732970027247957</v>
      </c>
      <c r="M14" s="28">
        <f t="shared" si="13"/>
        <v>1</v>
      </c>
      <c r="N14" s="28">
        <f t="shared" si="2"/>
        <v>1</v>
      </c>
      <c r="O14" s="17">
        <f t="shared" si="3"/>
        <v>1529.16</v>
      </c>
      <c r="P14" s="17">
        <f t="shared" si="14"/>
        <v>1008</v>
      </c>
      <c r="Q14" s="17">
        <f t="shared" si="4"/>
        <v>734</v>
      </c>
      <c r="R14" s="17">
        <f t="shared" si="5"/>
        <v>1529.16</v>
      </c>
      <c r="S14" s="17">
        <f t="shared" si="6"/>
        <v>1008</v>
      </c>
      <c r="T14" s="28">
        <f t="shared" si="7"/>
        <v>2.083324250681199</v>
      </c>
      <c r="U14" s="28">
        <f t="shared" si="8"/>
        <v>0.8368870627528656</v>
      </c>
      <c r="V14" s="28">
        <f t="shared" si="9"/>
        <v>0.7095672575599582</v>
      </c>
      <c r="W14" s="28">
        <f t="shared" si="10"/>
        <v>2.083324250681199</v>
      </c>
      <c r="X14" s="28">
        <f t="shared" si="11"/>
        <v>1.1794330330724834</v>
      </c>
      <c r="Y14" s="29">
        <f t="shared" si="15"/>
        <v>1.7308066758137999</v>
      </c>
    </row>
    <row r="15" spans="1:25" ht="11.25">
      <c r="A15" s="6">
        <v>10</v>
      </c>
      <c r="B15" s="7" t="s">
        <v>57</v>
      </c>
      <c r="C15" s="49">
        <v>1969</v>
      </c>
      <c r="D15" s="8"/>
      <c r="E15" s="8">
        <v>454</v>
      </c>
      <c r="F15" s="25">
        <v>2474.44</v>
      </c>
      <c r="G15" s="25">
        <v>49.05</v>
      </c>
      <c r="H15" s="26">
        <v>12853.2</v>
      </c>
      <c r="I15" s="26">
        <f>F15*H15</f>
        <v>31804472.208000004</v>
      </c>
      <c r="J15" s="27">
        <f>'ИБР 2023'!G15*'ИБР 2023'!H15/'ИБР 2023'!$H$16</f>
        <v>5.689001525009249</v>
      </c>
      <c r="K15" s="28">
        <f t="shared" si="1"/>
        <v>1.1529507364144236</v>
      </c>
      <c r="L15" s="28">
        <f t="shared" si="12"/>
        <v>1.2305738953783647</v>
      </c>
      <c r="M15" s="28">
        <f t="shared" si="13"/>
        <v>1</v>
      </c>
      <c r="N15" s="28">
        <f t="shared" si="2"/>
        <v>1</v>
      </c>
      <c r="O15" s="17">
        <f t="shared" si="3"/>
        <v>2270.16</v>
      </c>
      <c r="P15" s="17">
        <f t="shared" si="14"/>
        <v>2423</v>
      </c>
      <c r="Q15" s="17">
        <f t="shared" si="4"/>
        <v>1969</v>
      </c>
      <c r="R15" s="17">
        <f t="shared" si="5"/>
        <v>2270.16</v>
      </c>
      <c r="S15" s="17">
        <f t="shared" si="6"/>
        <v>2423</v>
      </c>
      <c r="T15" s="28">
        <f t="shared" si="7"/>
        <v>1.1529507364144236</v>
      </c>
      <c r="U15" s="28">
        <f t="shared" si="8"/>
        <v>0.7499116147200466</v>
      </c>
      <c r="V15" s="28">
        <f t="shared" si="9"/>
        <v>0.7095672575599582</v>
      </c>
      <c r="W15" s="28">
        <f t="shared" si="10"/>
        <v>1.1529507364144236</v>
      </c>
      <c r="X15" s="28">
        <f t="shared" si="11"/>
        <v>1.05685769281241</v>
      </c>
      <c r="Y15" s="29">
        <f t="shared" si="15"/>
        <v>1.1154744494096382</v>
      </c>
    </row>
    <row r="16" spans="1:25" ht="12.75">
      <c r="A16" s="12"/>
      <c r="B16" s="13" t="s">
        <v>11</v>
      </c>
      <c r="C16" s="13">
        <f>SUM(C6:C15)</f>
        <v>27219</v>
      </c>
      <c r="D16" s="30">
        <f>SUM(D6:D15)</f>
        <v>11141</v>
      </c>
      <c r="E16" s="30">
        <f>SUM(E6:E15)</f>
        <v>4474</v>
      </c>
      <c r="F16" s="25">
        <v>2474.44</v>
      </c>
      <c r="G16" s="25">
        <v>49.05</v>
      </c>
      <c r="H16" s="31">
        <f>SUM(H6:H15)</f>
        <v>110819</v>
      </c>
      <c r="I16" s="31">
        <f>SUM(I6:I15)</f>
        <v>274214966.36</v>
      </c>
      <c r="J16" s="32">
        <f>SUM(J6:J15)</f>
        <v>49.04999999999999</v>
      </c>
      <c r="K16" s="29">
        <f>IF(C16&lt;&gt;0,0.6+0.4*($C$16/COUNT($A$6:$A$15))/(C16/COUNT($A$6:$A$15)),0)</f>
        <v>1</v>
      </c>
      <c r="L16" s="29">
        <f>IF(C16&lt;&gt;0,1+E16/C16,0)</f>
        <v>1.1643704765053822</v>
      </c>
      <c r="M16" s="29">
        <f>IF(C16&lt;&gt;0,1+D16/C16,0)</f>
        <v>1.4093096733899115</v>
      </c>
      <c r="N16" s="29">
        <f t="shared" si="2"/>
        <v>1</v>
      </c>
      <c r="O16" s="33">
        <f t="shared" si="3"/>
        <v>27219</v>
      </c>
      <c r="P16" s="33">
        <f t="shared" si="14"/>
        <v>44665.25147874646</v>
      </c>
      <c r="Q16" s="33">
        <f t="shared" si="4"/>
        <v>38360</v>
      </c>
      <c r="R16" s="33">
        <f t="shared" si="5"/>
        <v>27219</v>
      </c>
      <c r="S16" s="33">
        <f t="shared" si="6"/>
        <v>31692.999999999996</v>
      </c>
      <c r="T16" s="29">
        <f t="shared" si="7"/>
        <v>1</v>
      </c>
      <c r="U16" s="29">
        <f t="shared" si="8"/>
        <v>1</v>
      </c>
      <c r="V16" s="29">
        <f t="shared" si="9"/>
        <v>1</v>
      </c>
      <c r="W16" s="29">
        <f t="shared" si="10"/>
        <v>1</v>
      </c>
      <c r="X16" s="29">
        <f t="shared" si="11"/>
        <v>1</v>
      </c>
      <c r="Y16" s="29">
        <f t="shared" si="15"/>
        <v>1</v>
      </c>
    </row>
    <row r="17" spans="3:25" ht="11.2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3:25" ht="11.25"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3:25" ht="11.25"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</sheetData>
  <sheetProtection/>
  <mergeCells count="10">
    <mergeCell ref="O3:S3"/>
    <mergeCell ref="T3:X3"/>
    <mergeCell ref="Y3:Y4"/>
    <mergeCell ref="B1:N1"/>
    <mergeCell ref="A3:A4"/>
    <mergeCell ref="B3:B4"/>
    <mergeCell ref="C3:C4"/>
    <mergeCell ref="E3:E4"/>
    <mergeCell ref="F3:G3"/>
    <mergeCell ref="K3:N3"/>
  </mergeCells>
  <printOptions horizontalCentered="1" verticalCentered="1"/>
  <pageMargins left="0.31496062992125984" right="0.1968503937007874" top="0.1968503937007874" bottom="0.1968503937007874" header="0.15748031496062992" footer="0.15748031496062992"/>
  <pageSetup horizontalDpi="600" verticalDpi="600" orientation="landscape" paperSize="9" scale="85" r:id="rId1"/>
  <colBreaks count="1" manualBreakCount="1">
    <brk id="14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16"/>
  <sheetViews>
    <sheetView zoomScaleSheetLayoutView="100" zoomScalePageLayoutView="0" workbookViewId="0" topLeftCell="A1">
      <pane xSplit="2" ySplit="5" topLeftCell="E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32" sqref="U31:U32"/>
    </sheetView>
  </sheetViews>
  <sheetFormatPr defaultColWidth="8.00390625" defaultRowHeight="12.75"/>
  <cols>
    <col min="1" max="1" width="3.25390625" style="1" customWidth="1"/>
    <col min="2" max="2" width="22.125" style="1" customWidth="1"/>
    <col min="3" max="3" width="10.875" style="1" customWidth="1"/>
    <col min="4" max="24" width="12.00390625" style="1" customWidth="1"/>
    <col min="25" max="16384" width="8.00390625" style="1" customWidth="1"/>
  </cols>
  <sheetData>
    <row r="1" spans="3:24" ht="27" customHeight="1">
      <c r="C1" s="61" t="s">
        <v>68</v>
      </c>
      <c r="D1" s="61"/>
      <c r="E1" s="61"/>
      <c r="F1" s="61"/>
      <c r="G1" s="61"/>
      <c r="H1" s="61"/>
      <c r="I1" s="61"/>
      <c r="J1" s="61"/>
      <c r="K1" s="6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3" spans="1:24" ht="30.75" customHeight="1">
      <c r="A3" s="69" t="s">
        <v>0</v>
      </c>
      <c r="B3" s="69" t="s">
        <v>1</v>
      </c>
      <c r="C3" s="70" t="s">
        <v>2</v>
      </c>
      <c r="D3" s="69" t="s">
        <v>3</v>
      </c>
      <c r="E3" s="69"/>
      <c r="F3" s="69"/>
      <c r="G3" s="69"/>
      <c r="H3" s="69" t="s">
        <v>4</v>
      </c>
      <c r="I3" s="69"/>
      <c r="J3" s="69"/>
      <c r="K3" s="69"/>
      <c r="L3" s="69" t="s">
        <v>5</v>
      </c>
      <c r="M3" s="69"/>
      <c r="N3" s="69"/>
      <c r="O3" s="69"/>
      <c r="P3" s="69" t="s">
        <v>6</v>
      </c>
      <c r="Q3" s="69"/>
      <c r="R3" s="69"/>
      <c r="S3" s="69"/>
      <c r="T3" s="68" t="s">
        <v>7</v>
      </c>
      <c r="U3" s="68" t="s">
        <v>44</v>
      </c>
      <c r="V3" s="68" t="s">
        <v>45</v>
      </c>
      <c r="W3" s="68" t="s">
        <v>46</v>
      </c>
      <c r="X3" s="68" t="s">
        <v>47</v>
      </c>
    </row>
    <row r="4" spans="1:24" ht="90" customHeight="1">
      <c r="A4" s="69"/>
      <c r="B4" s="69"/>
      <c r="C4" s="70"/>
      <c r="D4" s="3" t="s">
        <v>8</v>
      </c>
      <c r="E4" s="46" t="s">
        <v>62</v>
      </c>
      <c r="F4" s="3" t="s">
        <v>9</v>
      </c>
      <c r="G4" s="3" t="str">
        <f>"Налоговый потенциал по репрезента-тивной налоговой ставке  "&amp;FIXED(F16,6)&amp;", контингент"</f>
        <v>Налоговый потенциал по репрезента-тивной налоговой ставке  0,130000, контингент</v>
      </c>
      <c r="H4" s="3" t="s">
        <v>12</v>
      </c>
      <c r="I4" s="46" t="s">
        <v>63</v>
      </c>
      <c r="J4" s="3" t="s">
        <v>9</v>
      </c>
      <c r="K4" s="3" t="str">
        <f>"Налоговый потенциал по репрезента-тивной налоговой ставке  "&amp;FIXED(J16,6)&amp;", контингент"</f>
        <v>Налоговый потенциал по репрезента-тивной налоговой ставке  0,003000, контингент</v>
      </c>
      <c r="L4" s="3" t="s">
        <v>12</v>
      </c>
      <c r="M4" s="46" t="s">
        <v>63</v>
      </c>
      <c r="N4" s="3" t="s">
        <v>9</v>
      </c>
      <c r="O4" s="3" t="str">
        <f>"Налоговый потенциал по репрезента-тивной налоговой ставке  "&amp;FIXED(N16,6)&amp;", контингент"</f>
        <v>Налоговый потенциал по репрезента-тивной налоговой ставке  0,003000, контингент</v>
      </c>
      <c r="P4" s="3" t="s">
        <v>12</v>
      </c>
      <c r="Q4" s="46" t="s">
        <v>64</v>
      </c>
      <c r="R4" s="3" t="s">
        <v>9</v>
      </c>
      <c r="S4" s="3" t="str">
        <f>"Налоговый потенциал по репрезента-тивной налоговой ставке  "&amp;FIXED(R16,6)&amp;", контингент"</f>
        <v>Налоговый потенциал по репрезента-тивной налоговой ставке  0,030000, контингент</v>
      </c>
      <c r="T4" s="68"/>
      <c r="U4" s="68"/>
      <c r="V4" s="68"/>
      <c r="W4" s="68"/>
      <c r="X4" s="68"/>
    </row>
    <row r="5" spans="1:24" s="5" customFormat="1" ht="11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2.75">
      <c r="A6" s="6">
        <v>1</v>
      </c>
      <c r="B6" s="7" t="s">
        <v>48</v>
      </c>
      <c r="C6" s="49">
        <v>9293</v>
      </c>
      <c r="D6" s="71">
        <v>573993.4</v>
      </c>
      <c r="E6" s="71"/>
      <c r="F6" s="10" t="s">
        <v>10</v>
      </c>
      <c r="G6" s="11">
        <f aca="true" t="shared" si="0" ref="G6:G15">D6*$F$16*0.1</f>
        <v>7461.9142682831825</v>
      </c>
      <c r="H6" s="71">
        <v>1000063</v>
      </c>
      <c r="I6" s="71">
        <v>3000.2</v>
      </c>
      <c r="J6" s="10" t="s">
        <v>10</v>
      </c>
      <c r="K6" s="11">
        <f aca="true" t="shared" si="1" ref="K6:K15">H6*$J$16</f>
        <v>3000.0127371890117</v>
      </c>
      <c r="L6" s="71">
        <v>3990000</v>
      </c>
      <c r="M6" s="71">
        <v>11970</v>
      </c>
      <c r="N6" s="10" t="s">
        <v>10</v>
      </c>
      <c r="O6" s="11">
        <f aca="true" t="shared" si="2" ref="O6:O15">L6*$N$16</f>
        <v>11969.978305786542</v>
      </c>
      <c r="P6" s="71">
        <v>11356.5</v>
      </c>
      <c r="Q6" s="71">
        <v>340.7</v>
      </c>
      <c r="R6" s="10" t="s">
        <v>10</v>
      </c>
      <c r="S6" s="11">
        <f aca="true" t="shared" si="3" ref="S6:S15">P6*$R$16</f>
        <v>340.69088253422365</v>
      </c>
      <c r="T6" s="11">
        <f aca="true" t="shared" si="4" ref="T6:T16">S6+O6+K6+G6</f>
        <v>22772.59619379296</v>
      </c>
      <c r="U6" s="45">
        <v>531.2</v>
      </c>
      <c r="V6" s="11">
        <f>T6+U6</f>
        <v>23303.79619379296</v>
      </c>
      <c r="W6" s="11">
        <f>IF(C6&lt;&gt;0,V6/C6,0)</f>
        <v>2.5076720320448684</v>
      </c>
      <c r="X6" s="36">
        <f aca="true" t="shared" si="5" ref="X6:X16">IF($W$16&lt;&gt;0,W6/$W$16,0)</f>
        <v>1.0974604953281337</v>
      </c>
    </row>
    <row r="7" spans="1:24" ht="12.75">
      <c r="A7" s="6">
        <v>2</v>
      </c>
      <c r="B7" s="7" t="s">
        <v>49</v>
      </c>
      <c r="C7" s="49">
        <v>5211</v>
      </c>
      <c r="D7" s="71">
        <v>321863.7</v>
      </c>
      <c r="E7" s="71"/>
      <c r="F7" s="10" t="s">
        <v>10</v>
      </c>
      <c r="G7" s="11">
        <f t="shared" si="0"/>
        <v>4184.228138289426</v>
      </c>
      <c r="H7" s="71">
        <v>345000</v>
      </c>
      <c r="I7" s="71">
        <v>1035</v>
      </c>
      <c r="J7" s="10" t="s">
        <v>10</v>
      </c>
      <c r="K7" s="11">
        <f t="shared" si="1"/>
        <v>1034.9391931610398</v>
      </c>
      <c r="L7" s="71">
        <v>1168666.7</v>
      </c>
      <c r="M7" s="71">
        <v>3506</v>
      </c>
      <c r="N7" s="10" t="s">
        <v>10</v>
      </c>
      <c r="O7" s="11">
        <f t="shared" si="2"/>
        <v>3505.9937457882575</v>
      </c>
      <c r="P7" s="71">
        <v>27305</v>
      </c>
      <c r="Q7" s="71">
        <v>819.2</v>
      </c>
      <c r="R7" s="10" t="s">
        <v>10</v>
      </c>
      <c r="S7" s="11">
        <f t="shared" si="3"/>
        <v>819.1401001714416</v>
      </c>
      <c r="T7" s="11">
        <f t="shared" si="4"/>
        <v>9544.301177410165</v>
      </c>
      <c r="U7" s="45">
        <v>297.8</v>
      </c>
      <c r="V7" s="11">
        <f aca="true" t="shared" si="6" ref="V7:V15">T7+U7</f>
        <v>9842.101177410164</v>
      </c>
      <c r="W7" s="11">
        <f aca="true" t="shared" si="7" ref="W7:W16">IF(C7&lt;&gt;0,V7/C7,0)</f>
        <v>1.8887164032642803</v>
      </c>
      <c r="X7" s="36">
        <f t="shared" si="5"/>
        <v>0.8265800363736325</v>
      </c>
    </row>
    <row r="8" spans="1:24" ht="12.75">
      <c r="A8" s="6">
        <v>3</v>
      </c>
      <c r="B8" s="7" t="s">
        <v>50</v>
      </c>
      <c r="C8" s="49">
        <v>2522</v>
      </c>
      <c r="D8" s="71">
        <v>155774.4</v>
      </c>
      <c r="E8" s="71"/>
      <c r="F8" s="10" t="s">
        <v>10</v>
      </c>
      <c r="G8" s="11">
        <f t="shared" si="0"/>
        <v>2025.0672185311741</v>
      </c>
      <c r="H8" s="71">
        <v>212350</v>
      </c>
      <c r="I8" s="71">
        <v>637.1</v>
      </c>
      <c r="J8" s="10" t="s">
        <v>10</v>
      </c>
      <c r="K8" s="11">
        <f t="shared" si="1"/>
        <v>637.0125729499907</v>
      </c>
      <c r="L8" s="71">
        <v>826333.3</v>
      </c>
      <c r="M8" s="71">
        <v>2479</v>
      </c>
      <c r="N8" s="10" t="s">
        <v>10</v>
      </c>
      <c r="O8" s="11">
        <f t="shared" si="2"/>
        <v>2478.9954071050133</v>
      </c>
      <c r="P8" s="71">
        <v>28296.4</v>
      </c>
      <c r="Q8" s="71">
        <v>848.9</v>
      </c>
      <c r="R8" s="10" t="s">
        <v>10</v>
      </c>
      <c r="S8" s="11">
        <f t="shared" si="3"/>
        <v>848.881740724819</v>
      </c>
      <c r="T8" s="11">
        <f t="shared" si="4"/>
        <v>5989.956939310997</v>
      </c>
      <c r="U8" s="45">
        <v>144.1</v>
      </c>
      <c r="V8" s="11">
        <f t="shared" si="6"/>
        <v>6134.056939310997</v>
      </c>
      <c r="W8" s="11">
        <f t="shared" si="7"/>
        <v>2.432219246356462</v>
      </c>
      <c r="X8" s="36">
        <f t="shared" si="5"/>
        <v>1.064439250724643</v>
      </c>
    </row>
    <row r="9" spans="1:24" ht="12.75">
      <c r="A9" s="6">
        <v>4</v>
      </c>
      <c r="B9" s="7" t="s">
        <v>51</v>
      </c>
      <c r="C9" s="49">
        <v>761</v>
      </c>
      <c r="D9" s="71">
        <v>47004.1</v>
      </c>
      <c r="E9" s="71"/>
      <c r="F9" s="10" t="s">
        <v>10</v>
      </c>
      <c r="G9" s="11">
        <f t="shared" si="0"/>
        <v>611.0533055916837</v>
      </c>
      <c r="H9" s="71">
        <v>39000</v>
      </c>
      <c r="I9" s="71">
        <v>117</v>
      </c>
      <c r="J9" s="10" t="s">
        <v>10</v>
      </c>
      <c r="K9" s="11">
        <f t="shared" si="1"/>
        <v>116.9931261834219</v>
      </c>
      <c r="L9" s="71">
        <v>343666.7</v>
      </c>
      <c r="M9" s="71">
        <v>1031</v>
      </c>
      <c r="N9" s="10" t="s">
        <v>10</v>
      </c>
      <c r="O9" s="11">
        <f t="shared" si="2"/>
        <v>1030.9982314338977</v>
      </c>
      <c r="P9" s="71">
        <v>25310.6</v>
      </c>
      <c r="Q9" s="71">
        <v>759.3</v>
      </c>
      <c r="R9" s="10" t="s">
        <v>10</v>
      </c>
      <c r="S9" s="11">
        <f t="shared" si="3"/>
        <v>759.3088232704373</v>
      </c>
      <c r="T9" s="11">
        <f t="shared" si="4"/>
        <v>2518.3534864794406</v>
      </c>
      <c r="U9" s="45">
        <v>43.5</v>
      </c>
      <c r="V9" s="11">
        <f t="shared" si="6"/>
        <v>2561.8534864794406</v>
      </c>
      <c r="W9" s="11">
        <f t="shared" si="7"/>
        <v>3.366430337029488</v>
      </c>
      <c r="X9" s="36">
        <f t="shared" si="5"/>
        <v>1.473288475507444</v>
      </c>
    </row>
    <row r="10" spans="1:24" ht="12.75">
      <c r="A10" s="6">
        <v>5</v>
      </c>
      <c r="B10" s="7" t="s">
        <v>52</v>
      </c>
      <c r="C10" s="49">
        <v>2011</v>
      </c>
      <c r="D10" s="71">
        <v>124211.9</v>
      </c>
      <c r="E10" s="71"/>
      <c r="F10" s="10" t="s">
        <v>10</v>
      </c>
      <c r="G10" s="11">
        <f t="shared" si="0"/>
        <v>1614.7547147764483</v>
      </c>
      <c r="H10" s="71">
        <v>79625</v>
      </c>
      <c r="I10" s="71">
        <v>238.9</v>
      </c>
      <c r="J10" s="10" t="s">
        <v>10</v>
      </c>
      <c r="K10" s="11">
        <f t="shared" si="1"/>
        <v>238.8609659578197</v>
      </c>
      <c r="L10" s="71">
        <v>727666.7</v>
      </c>
      <c r="M10" s="71">
        <v>2183</v>
      </c>
      <c r="N10" s="10" t="s">
        <v>10</v>
      </c>
      <c r="O10" s="11">
        <f t="shared" si="2"/>
        <v>2182.996143569745</v>
      </c>
      <c r="P10" s="71">
        <v>2421.4</v>
      </c>
      <c r="Q10" s="71">
        <v>72.6</v>
      </c>
      <c r="R10" s="10" t="s">
        <v>10</v>
      </c>
      <c r="S10" s="11">
        <f t="shared" si="3"/>
        <v>72.64112208588642</v>
      </c>
      <c r="T10" s="11">
        <f t="shared" si="4"/>
        <v>4109.252946389899</v>
      </c>
      <c r="U10" s="45">
        <v>114.9</v>
      </c>
      <c r="V10" s="11">
        <f t="shared" si="6"/>
        <v>4224.152946389899</v>
      </c>
      <c r="W10" s="11">
        <f t="shared" si="7"/>
        <v>2.1005235934310784</v>
      </c>
      <c r="X10" s="36">
        <f t="shared" si="5"/>
        <v>0.9192755806330484</v>
      </c>
    </row>
    <row r="11" spans="1:24" ht="12.75">
      <c r="A11" s="6">
        <v>6</v>
      </c>
      <c r="B11" s="7" t="s">
        <v>53</v>
      </c>
      <c r="C11" s="49">
        <v>1812</v>
      </c>
      <c r="D11" s="71">
        <v>111920.4</v>
      </c>
      <c r="E11" s="71"/>
      <c r="F11" s="10" t="s">
        <v>10</v>
      </c>
      <c r="G11" s="11">
        <f t="shared" si="0"/>
        <v>1454.9652133142317</v>
      </c>
      <c r="H11" s="71">
        <v>86000</v>
      </c>
      <c r="I11" s="71">
        <v>258</v>
      </c>
      <c r="J11" s="10" t="s">
        <v>10</v>
      </c>
      <c r="K11" s="11">
        <f t="shared" si="1"/>
        <v>257.98484235318676</v>
      </c>
      <c r="L11" s="71">
        <v>610550</v>
      </c>
      <c r="M11" s="71">
        <v>1831.6</v>
      </c>
      <c r="N11" s="10" t="s">
        <v>10</v>
      </c>
      <c r="O11" s="11">
        <f t="shared" si="2"/>
        <v>1831.6466803503693</v>
      </c>
      <c r="P11" s="71">
        <v>58590.1</v>
      </c>
      <c r="Q11" s="71">
        <v>1757.7</v>
      </c>
      <c r="R11" s="10" t="s">
        <v>10</v>
      </c>
      <c r="S11" s="11">
        <f t="shared" si="3"/>
        <v>1757.6817572992045</v>
      </c>
      <c r="T11" s="11">
        <f t="shared" si="4"/>
        <v>5302.278493316992</v>
      </c>
      <c r="U11" s="45">
        <v>103.5</v>
      </c>
      <c r="V11" s="11">
        <f t="shared" si="6"/>
        <v>5405.778493316992</v>
      </c>
      <c r="W11" s="11">
        <f t="shared" si="7"/>
        <v>2.9833214643029757</v>
      </c>
      <c r="X11" s="36">
        <f t="shared" si="5"/>
        <v>1.3056242642971008</v>
      </c>
    </row>
    <row r="12" spans="1:24" ht="12.75">
      <c r="A12" s="6">
        <v>7</v>
      </c>
      <c r="B12" s="7" t="s">
        <v>54</v>
      </c>
      <c r="C12" s="49">
        <v>893</v>
      </c>
      <c r="D12" s="71">
        <v>55157.2</v>
      </c>
      <c r="E12" s="71"/>
      <c r="F12" s="10" t="s">
        <v>10</v>
      </c>
      <c r="G12" s="11">
        <f t="shared" si="0"/>
        <v>717.0436065615896</v>
      </c>
      <c r="H12" s="71">
        <v>30000</v>
      </c>
      <c r="I12" s="71">
        <v>90</v>
      </c>
      <c r="J12" s="10" t="s">
        <v>10</v>
      </c>
      <c r="K12" s="11">
        <f t="shared" si="1"/>
        <v>89.99471244878607</v>
      </c>
      <c r="L12" s="71">
        <v>327333.3</v>
      </c>
      <c r="M12" s="71">
        <v>982</v>
      </c>
      <c r="N12" s="10" t="s">
        <v>10</v>
      </c>
      <c r="O12" s="11">
        <f t="shared" si="2"/>
        <v>981.9981202409818</v>
      </c>
      <c r="P12" s="71">
        <v>51.4</v>
      </c>
      <c r="Q12" s="71">
        <v>1.5</v>
      </c>
      <c r="R12" s="10" t="s">
        <v>10</v>
      </c>
      <c r="S12" s="11">
        <f t="shared" si="3"/>
        <v>1.5419813641755027</v>
      </c>
      <c r="T12" s="11">
        <f t="shared" si="4"/>
        <v>1790.578420615533</v>
      </c>
      <c r="U12" s="45">
        <v>51</v>
      </c>
      <c r="V12" s="11">
        <f t="shared" si="6"/>
        <v>1841.578420615533</v>
      </c>
      <c r="W12" s="11">
        <f t="shared" si="7"/>
        <v>2.062237873029712</v>
      </c>
      <c r="X12" s="36">
        <f t="shared" si="5"/>
        <v>0.90252017357074</v>
      </c>
    </row>
    <row r="13" spans="1:24" ht="12.75">
      <c r="A13" s="6">
        <v>8</v>
      </c>
      <c r="B13" s="7" t="s">
        <v>55</v>
      </c>
      <c r="C13" s="49">
        <v>2013</v>
      </c>
      <c r="D13" s="71">
        <v>124335.4</v>
      </c>
      <c r="E13" s="71"/>
      <c r="F13" s="10" t="s">
        <v>10</v>
      </c>
      <c r="G13" s="11">
        <f t="shared" si="0"/>
        <v>1616.3602147911402</v>
      </c>
      <c r="H13" s="71">
        <v>78324</v>
      </c>
      <c r="I13" s="71">
        <v>235</v>
      </c>
      <c r="J13" s="10" t="s">
        <v>10</v>
      </c>
      <c r="K13" s="11">
        <f t="shared" si="1"/>
        <v>234.95819526129068</v>
      </c>
      <c r="L13" s="71">
        <v>702333.3</v>
      </c>
      <c r="M13" s="71">
        <v>2107</v>
      </c>
      <c r="N13" s="10" t="s">
        <v>10</v>
      </c>
      <c r="O13" s="11">
        <f t="shared" si="2"/>
        <v>2106.9960813111456</v>
      </c>
      <c r="P13" s="71">
        <v>19036.8</v>
      </c>
      <c r="Q13" s="71">
        <v>571.1</v>
      </c>
      <c r="R13" s="10" t="s">
        <v>10</v>
      </c>
      <c r="S13" s="11">
        <f t="shared" si="3"/>
        <v>571.09709792872</v>
      </c>
      <c r="T13" s="11">
        <f t="shared" si="4"/>
        <v>4529.411589292296</v>
      </c>
      <c r="U13" s="45">
        <v>115</v>
      </c>
      <c r="V13" s="11">
        <f t="shared" si="6"/>
        <v>4644.411589292296</v>
      </c>
      <c r="W13" s="11">
        <f t="shared" si="7"/>
        <v>2.307208936558518</v>
      </c>
      <c r="X13" s="36">
        <f t="shared" si="5"/>
        <v>1.0097295938162392</v>
      </c>
    </row>
    <row r="14" spans="1:24" ht="12.75">
      <c r="A14" s="6">
        <v>9</v>
      </c>
      <c r="B14" s="7" t="s">
        <v>56</v>
      </c>
      <c r="C14" s="49">
        <v>734</v>
      </c>
      <c r="D14" s="71">
        <v>45336.4</v>
      </c>
      <c r="E14" s="71"/>
      <c r="F14" s="10" t="s">
        <v>10</v>
      </c>
      <c r="G14" s="11">
        <f t="shared" si="0"/>
        <v>589.3732053932914</v>
      </c>
      <c r="H14" s="71">
        <v>35824</v>
      </c>
      <c r="I14" s="71">
        <v>107</v>
      </c>
      <c r="J14" s="10" t="s">
        <v>10</v>
      </c>
      <c r="K14" s="11">
        <f t="shared" si="1"/>
        <v>107.46568595884374</v>
      </c>
      <c r="L14" s="71">
        <v>160333.3</v>
      </c>
      <c r="M14" s="71">
        <v>481</v>
      </c>
      <c r="N14" s="10" t="s">
        <v>10</v>
      </c>
      <c r="O14" s="11">
        <f t="shared" si="2"/>
        <v>480.9990282444023</v>
      </c>
      <c r="P14" s="71">
        <v>404.9</v>
      </c>
      <c r="Q14" s="71">
        <v>12.1</v>
      </c>
      <c r="R14" s="10" t="s">
        <v>10</v>
      </c>
      <c r="S14" s="11">
        <f t="shared" si="3"/>
        <v>12.146853197561498</v>
      </c>
      <c r="T14" s="11">
        <f t="shared" si="4"/>
        <v>1189.984772794099</v>
      </c>
      <c r="U14" s="45">
        <v>41.9</v>
      </c>
      <c r="V14" s="11">
        <f t="shared" si="6"/>
        <v>1231.884772794099</v>
      </c>
      <c r="W14" s="11">
        <f t="shared" si="7"/>
        <v>1.6783171291472738</v>
      </c>
      <c r="X14" s="36">
        <f t="shared" si="5"/>
        <v>0.7345006541264893</v>
      </c>
    </row>
    <row r="15" spans="1:24" ht="12.75">
      <c r="A15" s="6">
        <v>10</v>
      </c>
      <c r="B15" s="7" t="s">
        <v>57</v>
      </c>
      <c r="C15" s="49">
        <v>1969</v>
      </c>
      <c r="D15" s="71">
        <v>121617.7</v>
      </c>
      <c r="E15" s="71"/>
      <c r="F15" s="10" t="s">
        <v>10</v>
      </c>
      <c r="G15" s="11">
        <f t="shared" si="0"/>
        <v>1581.030114467838</v>
      </c>
      <c r="H15" s="71">
        <v>125000</v>
      </c>
      <c r="I15" s="71">
        <v>375</v>
      </c>
      <c r="J15" s="10" t="s">
        <v>10</v>
      </c>
      <c r="K15" s="11">
        <f t="shared" si="1"/>
        <v>374.9779685366086</v>
      </c>
      <c r="L15" s="71">
        <v>302333.3</v>
      </c>
      <c r="M15" s="71">
        <v>907</v>
      </c>
      <c r="N15" s="10" t="s">
        <v>10</v>
      </c>
      <c r="O15" s="11">
        <f t="shared" si="2"/>
        <v>906.9982561696377</v>
      </c>
      <c r="P15" s="71">
        <v>989</v>
      </c>
      <c r="Q15" s="71">
        <v>29.7</v>
      </c>
      <c r="R15" s="10" t="s">
        <v>10</v>
      </c>
      <c r="S15" s="11">
        <f t="shared" si="3"/>
        <v>29.669641423532532</v>
      </c>
      <c r="T15" s="11">
        <f t="shared" si="4"/>
        <v>2892.675980597617</v>
      </c>
      <c r="U15" s="45">
        <v>112.5</v>
      </c>
      <c r="V15" s="11">
        <f t="shared" si="6"/>
        <v>3005.175980597617</v>
      </c>
      <c r="W15" s="11">
        <f t="shared" si="7"/>
        <v>1.5262447844579061</v>
      </c>
      <c r="X15" s="36">
        <f t="shared" si="5"/>
        <v>0.6679475368943241</v>
      </c>
    </row>
    <row r="16" spans="1:24" ht="12.75">
      <c r="A16" s="12"/>
      <c r="B16" s="13" t="s">
        <v>11</v>
      </c>
      <c r="C16" s="13">
        <f>SUM(C6:C15)</f>
        <v>27219</v>
      </c>
      <c r="D16" s="14">
        <f>SUM(D6:D15)</f>
        <v>1681214.5999999996</v>
      </c>
      <c r="E16" s="14">
        <v>218557.9</v>
      </c>
      <c r="F16" s="13">
        <f>IF(D16&lt;&gt;0,E16/D16,0)</f>
        <v>0.13000000118961616</v>
      </c>
      <c r="G16" s="14">
        <f>SUM(G6:G15)</f>
        <v>21855.790000000008</v>
      </c>
      <c r="H16" s="14">
        <f>SUM(H6:H15)</f>
        <v>2031186</v>
      </c>
      <c r="I16" s="14">
        <f>SUM(I6:I15)</f>
        <v>6093.2</v>
      </c>
      <c r="J16" s="13">
        <f>IF(H16&lt;&gt;0,I16/H16,0)</f>
        <v>0.002999823748292869</v>
      </c>
      <c r="K16" s="14">
        <f>SUM(K6:K15)</f>
        <v>6093.2</v>
      </c>
      <c r="L16" s="14">
        <f>SUM(L6:L15)</f>
        <v>9159216.600000001</v>
      </c>
      <c r="M16" s="14">
        <f>SUM(M6:M15)</f>
        <v>27477.6</v>
      </c>
      <c r="N16" s="13">
        <f>IF(L16&lt;&gt;0,M16/L16,0)</f>
        <v>0.00299999456285377</v>
      </c>
      <c r="O16" s="14">
        <f>SUM(O6:O15)</f>
        <v>27477.599999999995</v>
      </c>
      <c r="P16" s="14">
        <f>P6+P7+P8+P9+P10+P11+P12+P13++P14+P15</f>
        <v>173762.09999999998</v>
      </c>
      <c r="Q16" s="14">
        <f>SUM(Q6:Q15)</f>
        <v>5212.800000000001</v>
      </c>
      <c r="R16" s="13">
        <f>IF(P16&lt;&gt;0,Q16/P16,0)</f>
        <v>0.029999637435321063</v>
      </c>
      <c r="S16" s="14">
        <f>SUM(S6:S15)</f>
        <v>5212.800000000002</v>
      </c>
      <c r="T16" s="14">
        <f t="shared" si="4"/>
        <v>60639.39000000001</v>
      </c>
      <c r="U16" s="14">
        <f>SUM(U6:U15)</f>
        <v>1555.4</v>
      </c>
      <c r="V16" s="14">
        <f>U16+T16</f>
        <v>62194.79000000001</v>
      </c>
      <c r="W16" s="42">
        <f t="shared" si="7"/>
        <v>2.2849770380983876</v>
      </c>
      <c r="X16" s="14">
        <f t="shared" si="5"/>
        <v>1</v>
      </c>
    </row>
  </sheetData>
  <sheetProtection/>
  <mergeCells count="13">
    <mergeCell ref="C1:K1"/>
    <mergeCell ref="A3:A4"/>
    <mergeCell ref="B3:B4"/>
    <mergeCell ref="C3:C4"/>
    <mergeCell ref="D3:G3"/>
    <mergeCell ref="H3:K3"/>
    <mergeCell ref="X3:X4"/>
    <mergeCell ref="L3:O3"/>
    <mergeCell ref="P3:S3"/>
    <mergeCell ref="T3:T4"/>
    <mergeCell ref="U3:U4"/>
    <mergeCell ref="V3:V4"/>
    <mergeCell ref="W3:W4"/>
  </mergeCells>
  <printOptions horizontalCentered="1" verticalCentered="1"/>
  <pageMargins left="0.31496062992125984" right="0.1968503937007874" top="0.1968503937007874" bottom="0.1968503937007874" header="0.15748031496062992" footer="0.15748031496062992"/>
  <pageSetup horizontalDpi="600" verticalDpi="600" orientation="landscape" paperSize="9" scale="70" r:id="rId1"/>
  <colBreaks count="1" manualBreakCount="1">
    <brk id="15" max="2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21"/>
  <sheetViews>
    <sheetView zoomScaleSheetLayoutView="11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25" sqref="I25"/>
    </sheetView>
  </sheetViews>
  <sheetFormatPr defaultColWidth="8.00390625" defaultRowHeight="12.75"/>
  <cols>
    <col min="1" max="1" width="3.25390625" style="1" customWidth="1"/>
    <col min="2" max="2" width="22.125" style="1" customWidth="1"/>
    <col min="3" max="7" width="10.875" style="1" customWidth="1"/>
    <col min="8" max="8" width="9.875" style="1" customWidth="1"/>
    <col min="9" max="9" width="12.125" style="1" customWidth="1"/>
    <col min="10" max="10" width="10.625" style="1" customWidth="1"/>
    <col min="11" max="11" width="10.125" style="1" customWidth="1"/>
    <col min="12" max="12" width="9.25390625" style="1" customWidth="1"/>
    <col min="13" max="13" width="8.00390625" style="1" customWidth="1"/>
    <col min="14" max="14" width="9.00390625" style="1" customWidth="1"/>
    <col min="15" max="16384" width="8.00390625" style="1" customWidth="1"/>
  </cols>
  <sheetData>
    <row r="1" spans="3:8" ht="27" customHeight="1">
      <c r="C1" s="61" t="s">
        <v>69</v>
      </c>
      <c r="D1" s="61"/>
      <c r="E1" s="61"/>
      <c r="F1" s="61"/>
      <c r="G1" s="61"/>
      <c r="H1" s="61"/>
    </row>
    <row r="2" ht="12"/>
    <row r="3" spans="1:12" ht="30.75" customHeight="1">
      <c r="A3" s="69" t="s">
        <v>0</v>
      </c>
      <c r="B3" s="69" t="s">
        <v>1</v>
      </c>
      <c r="C3" s="70" t="s">
        <v>2</v>
      </c>
      <c r="D3" s="68" t="s">
        <v>47</v>
      </c>
      <c r="E3" s="66" t="s">
        <v>18</v>
      </c>
      <c r="F3" s="66" t="s">
        <v>14</v>
      </c>
      <c r="G3" s="66" t="s">
        <v>15</v>
      </c>
      <c r="H3" s="66" t="s">
        <v>17</v>
      </c>
      <c r="I3" s="62" t="s">
        <v>42</v>
      </c>
      <c r="J3" s="62" t="s">
        <v>40</v>
      </c>
      <c r="K3" s="66" t="s">
        <v>43</v>
      </c>
      <c r="L3" s="62" t="s">
        <v>41</v>
      </c>
    </row>
    <row r="4" spans="1:14" ht="90" customHeight="1">
      <c r="A4" s="69"/>
      <c r="B4" s="69"/>
      <c r="C4" s="70"/>
      <c r="D4" s="68"/>
      <c r="E4" s="67"/>
      <c r="F4" s="67"/>
      <c r="G4" s="67"/>
      <c r="H4" s="67"/>
      <c r="I4" s="62"/>
      <c r="J4" s="62"/>
      <c r="K4" s="67"/>
      <c r="L4" s="62"/>
      <c r="N4" s="48"/>
    </row>
    <row r="5" spans="1:12" s="5" customFormat="1" ht="12">
      <c r="A5" s="4"/>
      <c r="B5" s="4"/>
      <c r="C5" s="4"/>
      <c r="D5" s="4"/>
      <c r="E5" s="4"/>
      <c r="F5" s="4"/>
      <c r="G5" s="16">
        <v>0.7</v>
      </c>
      <c r="H5" s="16">
        <v>766.5</v>
      </c>
      <c r="I5" s="4"/>
      <c r="J5" s="4"/>
      <c r="K5" s="4"/>
      <c r="L5" s="4"/>
    </row>
    <row r="6" spans="1:17" ht="12.75">
      <c r="A6" s="6">
        <v>1</v>
      </c>
      <c r="B6" s="7" t="s">
        <v>48</v>
      </c>
      <c r="C6" s="49">
        <v>9407</v>
      </c>
      <c r="D6" s="28">
        <f>'ИНП 2022'!X6</f>
        <v>1.0854337358559119</v>
      </c>
      <c r="E6" s="28">
        <f>'ИБР 2022'!Y6</f>
        <v>0.7724120232736013</v>
      </c>
      <c r="F6" s="36">
        <f>IF(E6&lt;&gt;0,D6/E6,0)</f>
        <v>1.405252252878815</v>
      </c>
      <c r="G6" s="17">
        <f aca="true" t="shared" si="0" ref="G6:G15">IF(F6&lt;$G$5,($G$5-F6)*E6*$G$18*C6/$C$16,0)</f>
        <v>0</v>
      </c>
      <c r="H6" s="17">
        <f aca="true" t="shared" si="1" ref="H6:H16">IF($G$16&lt;&gt;0,ROUND(G6/$G$16*$H$5,1),0)</f>
        <v>0</v>
      </c>
      <c r="I6" s="47">
        <f>26510+M6</f>
        <v>27041.2</v>
      </c>
      <c r="J6" s="40">
        <f>I6+H6</f>
        <v>27041.2</v>
      </c>
      <c r="K6" s="41">
        <v>27041.2</v>
      </c>
      <c r="L6" s="40">
        <f>J6-K6</f>
        <v>0</v>
      </c>
      <c r="M6" s="45">
        <v>531.2</v>
      </c>
      <c r="N6" s="50"/>
      <c r="P6" s="54"/>
      <c r="Q6" s="44"/>
    </row>
    <row r="7" spans="1:17" ht="14.25">
      <c r="A7" s="6">
        <v>2</v>
      </c>
      <c r="B7" s="7" t="s">
        <v>49</v>
      </c>
      <c r="C7" s="49">
        <v>5336</v>
      </c>
      <c r="D7" s="28">
        <f>'ИНП 2022'!X7</f>
        <v>0.7721763915720711</v>
      </c>
      <c r="E7" s="28">
        <f>'ИБР 2022'!Y7</f>
        <v>0.9086766293954155</v>
      </c>
      <c r="F7" s="36">
        <f aca="true" t="shared" si="2" ref="F7:F16">IF(E7&lt;&gt;0,D7/E7,0)</f>
        <v>0.8497812825733569</v>
      </c>
      <c r="G7" s="17">
        <f t="shared" si="0"/>
        <v>0</v>
      </c>
      <c r="H7" s="17">
        <f t="shared" si="1"/>
        <v>0</v>
      </c>
      <c r="I7" s="47">
        <f>11275.7+M7</f>
        <v>11573.5</v>
      </c>
      <c r="J7" s="40">
        <f aca="true" t="shared" si="3" ref="J7:J16">I7+H7</f>
        <v>11573.5</v>
      </c>
      <c r="K7" s="41">
        <v>11573.5</v>
      </c>
      <c r="L7" s="40">
        <f aca="true" t="shared" si="4" ref="L7:L16">J7-K7</f>
        <v>0</v>
      </c>
      <c r="M7" s="45">
        <v>297.8</v>
      </c>
      <c r="N7" s="51"/>
      <c r="P7" s="54"/>
      <c r="Q7" s="44"/>
    </row>
    <row r="8" spans="1:17" ht="14.25">
      <c r="A8" s="6">
        <v>3</v>
      </c>
      <c r="B8" s="7" t="s">
        <v>50</v>
      </c>
      <c r="C8" s="49">
        <v>2523</v>
      </c>
      <c r="D8" s="28">
        <f>'ИНП 2022'!X8</f>
        <v>1.1924702965340426</v>
      </c>
      <c r="E8" s="28">
        <f>'ИБР 2022'!Y8</f>
        <v>0.9739800637024418</v>
      </c>
      <c r="F8" s="36">
        <f t="shared" si="2"/>
        <v>1.2243272126136158</v>
      </c>
      <c r="G8" s="17">
        <f t="shared" si="0"/>
        <v>0</v>
      </c>
      <c r="H8" s="17">
        <f t="shared" si="1"/>
        <v>0</v>
      </c>
      <c r="I8" s="47">
        <f>7697.4+M8</f>
        <v>7841.5</v>
      </c>
      <c r="J8" s="40">
        <f t="shared" si="3"/>
        <v>7841.5</v>
      </c>
      <c r="K8" s="41">
        <v>7841.5</v>
      </c>
      <c r="L8" s="40">
        <f t="shared" si="4"/>
        <v>0</v>
      </c>
      <c r="M8" s="45">
        <v>144.1</v>
      </c>
      <c r="N8" s="51"/>
      <c r="P8" s="54"/>
      <c r="Q8" s="44"/>
    </row>
    <row r="9" spans="1:17" ht="14.25">
      <c r="A9" s="6">
        <v>4</v>
      </c>
      <c r="B9" s="7" t="s">
        <v>51</v>
      </c>
      <c r="C9" s="49">
        <v>775</v>
      </c>
      <c r="D9" s="28">
        <f>'ИНП 2022'!X9</f>
        <v>1.6642924018738339</v>
      </c>
      <c r="E9" s="28">
        <f>'ИБР 2022'!Y9</f>
        <v>1.908614716788732</v>
      </c>
      <c r="F9" s="36">
        <f t="shared" si="2"/>
        <v>0.8719897144427486</v>
      </c>
      <c r="G9" s="17">
        <f t="shared" si="0"/>
        <v>0</v>
      </c>
      <c r="H9" s="17">
        <f t="shared" si="1"/>
        <v>0</v>
      </c>
      <c r="I9" s="47">
        <f>3398.7+M9</f>
        <v>3442.2</v>
      </c>
      <c r="J9" s="40">
        <f t="shared" si="3"/>
        <v>3442.2</v>
      </c>
      <c r="K9" s="41">
        <v>3442.2</v>
      </c>
      <c r="L9" s="40">
        <f t="shared" si="4"/>
        <v>0</v>
      </c>
      <c r="M9" s="45">
        <v>43.5</v>
      </c>
      <c r="N9" s="51"/>
      <c r="P9" s="54"/>
      <c r="Q9" s="44"/>
    </row>
    <row r="10" spans="1:17" ht="14.25">
      <c r="A10" s="6">
        <v>5</v>
      </c>
      <c r="B10" s="7" t="s">
        <v>52</v>
      </c>
      <c r="C10" s="49">
        <v>2072</v>
      </c>
      <c r="D10" s="28">
        <f>'ИНП 2022'!X10</f>
        <v>0.9257604408529622</v>
      </c>
      <c r="E10" s="28">
        <f>'ИБР 2022'!Y10</f>
        <v>1.1844322330548658</v>
      </c>
      <c r="F10" s="36">
        <f t="shared" si="2"/>
        <v>0.7816069294781499</v>
      </c>
      <c r="G10" s="17">
        <f t="shared" si="0"/>
        <v>0</v>
      </c>
      <c r="H10" s="17">
        <f t="shared" si="1"/>
        <v>0</v>
      </c>
      <c r="I10" s="47">
        <f>5895.4+M10</f>
        <v>6010.299999999999</v>
      </c>
      <c r="J10" s="40">
        <f t="shared" si="3"/>
        <v>6010.299999999999</v>
      </c>
      <c r="K10" s="41">
        <v>6010.3</v>
      </c>
      <c r="L10" s="40">
        <f t="shared" si="4"/>
        <v>0</v>
      </c>
      <c r="M10" s="45">
        <v>114.9</v>
      </c>
      <c r="N10" s="51"/>
      <c r="P10" s="54"/>
      <c r="Q10" s="44"/>
    </row>
    <row r="11" spans="1:17" ht="14.25">
      <c r="A11" s="6">
        <v>6</v>
      </c>
      <c r="B11" s="7" t="s">
        <v>53</v>
      </c>
      <c r="C11" s="49">
        <v>1865</v>
      </c>
      <c r="D11" s="28">
        <f>'ИНП 2022'!X11</f>
        <v>1.3856423203674786</v>
      </c>
      <c r="E11" s="28">
        <f>'ИБР 2022'!Y11</f>
        <v>1.178194178587914</v>
      </c>
      <c r="F11" s="36">
        <f t="shared" si="2"/>
        <v>1.1760729644991073</v>
      </c>
      <c r="G11" s="17">
        <f t="shared" si="0"/>
        <v>0</v>
      </c>
      <c r="H11" s="17">
        <f t="shared" si="1"/>
        <v>0</v>
      </c>
      <c r="I11" s="47">
        <f>6668.1+M11</f>
        <v>6771.6</v>
      </c>
      <c r="J11" s="40">
        <f t="shared" si="3"/>
        <v>6771.6</v>
      </c>
      <c r="K11" s="41">
        <v>6771.6</v>
      </c>
      <c r="L11" s="40">
        <f t="shared" si="4"/>
        <v>0</v>
      </c>
      <c r="M11" s="45">
        <v>103.5</v>
      </c>
      <c r="N11" s="51"/>
      <c r="P11" s="54"/>
      <c r="Q11" s="44"/>
    </row>
    <row r="12" spans="1:17" ht="14.25">
      <c r="A12" s="6">
        <v>7</v>
      </c>
      <c r="B12" s="7" t="s">
        <v>54</v>
      </c>
      <c r="C12" s="49">
        <v>926</v>
      </c>
      <c r="D12" s="28">
        <v>1.265</v>
      </c>
      <c r="E12" s="28">
        <f>'ИБР 2022'!Y12</f>
        <v>1.498678055232363</v>
      </c>
      <c r="F12" s="36">
        <f t="shared" si="2"/>
        <v>0.8440772156391304</v>
      </c>
      <c r="G12" s="17">
        <f t="shared" si="0"/>
        <v>0</v>
      </c>
      <c r="H12" s="17">
        <f t="shared" si="1"/>
        <v>0</v>
      </c>
      <c r="I12" s="47">
        <f>2388+M12</f>
        <v>2439</v>
      </c>
      <c r="J12" s="40">
        <f t="shared" si="3"/>
        <v>2439</v>
      </c>
      <c r="K12" s="41">
        <v>2439</v>
      </c>
      <c r="L12" s="40">
        <f t="shared" si="4"/>
        <v>0</v>
      </c>
      <c r="M12" s="45">
        <v>51</v>
      </c>
      <c r="N12" s="51"/>
      <c r="P12" s="54"/>
      <c r="Q12" s="44"/>
    </row>
    <row r="13" spans="1:17" ht="14.25">
      <c r="A13" s="6">
        <v>8</v>
      </c>
      <c r="B13" s="7" t="s">
        <v>55</v>
      </c>
      <c r="C13" s="49">
        <v>2023</v>
      </c>
      <c r="D13" s="28">
        <f>'ИНП 2022'!X13</f>
        <v>1.0156608886853662</v>
      </c>
      <c r="E13" s="28">
        <f>'ИБР 2022'!Y13</f>
        <v>1.0308722132504167</v>
      </c>
      <c r="F13" s="36">
        <f t="shared" si="2"/>
        <v>0.985244219051081</v>
      </c>
      <c r="G13" s="17">
        <f t="shared" si="0"/>
        <v>0</v>
      </c>
      <c r="H13" s="17">
        <f t="shared" si="1"/>
        <v>0</v>
      </c>
      <c r="I13" s="47">
        <f>6407.4+M13</f>
        <v>6522.4</v>
      </c>
      <c r="J13" s="40">
        <f t="shared" si="3"/>
        <v>6522.4</v>
      </c>
      <c r="K13" s="41">
        <v>6522.4</v>
      </c>
      <c r="L13" s="40">
        <f t="shared" si="4"/>
        <v>0</v>
      </c>
      <c r="M13" s="45">
        <v>115</v>
      </c>
      <c r="N13" s="51"/>
      <c r="P13" s="54"/>
      <c r="Q13" s="44"/>
    </row>
    <row r="14" spans="1:17" ht="14.25">
      <c r="A14" s="6">
        <v>9</v>
      </c>
      <c r="B14" s="7" t="s">
        <v>56</v>
      </c>
      <c r="C14" s="49">
        <v>723</v>
      </c>
      <c r="D14" s="28">
        <v>0.825</v>
      </c>
      <c r="E14" s="28">
        <f>'ИБР 2022'!Y14</f>
        <v>1.7308066758137999</v>
      </c>
      <c r="F14" s="36">
        <f t="shared" si="2"/>
        <v>0.47665635424712993</v>
      </c>
      <c r="G14" s="17">
        <f t="shared" si="0"/>
        <v>766.4915954029352</v>
      </c>
      <c r="H14" s="17">
        <f t="shared" si="1"/>
        <v>766.5</v>
      </c>
      <c r="I14" s="47">
        <f>1666.3+M14</f>
        <v>1708.2</v>
      </c>
      <c r="J14" s="40">
        <f t="shared" si="3"/>
        <v>2474.7</v>
      </c>
      <c r="K14" s="41">
        <v>1708.2</v>
      </c>
      <c r="L14" s="40">
        <f t="shared" si="4"/>
        <v>766.4999999999998</v>
      </c>
      <c r="M14" s="45">
        <v>41.9</v>
      </c>
      <c r="N14" s="51"/>
      <c r="P14" s="54"/>
      <c r="Q14" s="44"/>
    </row>
    <row r="15" spans="1:17" ht="14.25">
      <c r="A15" s="6">
        <v>10</v>
      </c>
      <c r="B15" s="7" t="s">
        <v>57</v>
      </c>
      <c r="C15" s="49">
        <v>1977</v>
      </c>
      <c r="D15" s="28">
        <v>0.803</v>
      </c>
      <c r="E15" s="28">
        <f>'ИБР 2022'!Y15</f>
        <v>1.1154744494096382</v>
      </c>
      <c r="F15" s="36">
        <f t="shared" si="2"/>
        <v>0.7198730552949784</v>
      </c>
      <c r="G15" s="17">
        <f t="shared" si="0"/>
        <v>0</v>
      </c>
      <c r="H15" s="17">
        <f t="shared" si="1"/>
        <v>0</v>
      </c>
      <c r="I15" s="47">
        <f>3860.1+M15</f>
        <v>3972.6</v>
      </c>
      <c r="J15" s="40">
        <f t="shared" si="3"/>
        <v>3972.6</v>
      </c>
      <c r="K15" s="41">
        <v>3972.6</v>
      </c>
      <c r="L15" s="40">
        <f t="shared" si="4"/>
        <v>0</v>
      </c>
      <c r="M15" s="45">
        <v>112.5</v>
      </c>
      <c r="N15" s="51"/>
      <c r="P15" s="54"/>
      <c r="Q15" s="44"/>
    </row>
    <row r="16" spans="1:17" ht="14.25">
      <c r="A16" s="12"/>
      <c r="B16" s="13" t="s">
        <v>11</v>
      </c>
      <c r="C16" s="43">
        <f>SUM(C6:C15)</f>
        <v>27627</v>
      </c>
      <c r="D16" s="37">
        <f>'ИНП 2022'!X16</f>
        <v>1</v>
      </c>
      <c r="E16" s="37">
        <f>'ИБР 2022'!Y16</f>
        <v>1</v>
      </c>
      <c r="F16" s="38">
        <f t="shared" si="2"/>
        <v>1</v>
      </c>
      <c r="G16" s="39">
        <f>SUM(G6:G15)</f>
        <v>766.4915954029352</v>
      </c>
      <c r="H16" s="39">
        <f t="shared" si="1"/>
        <v>766.5</v>
      </c>
      <c r="I16" s="39">
        <f>SUM(I6:I15)</f>
        <v>77322.5</v>
      </c>
      <c r="J16" s="39">
        <f t="shared" si="3"/>
        <v>78089</v>
      </c>
      <c r="K16" s="39">
        <f>SUM(K6:K15)</f>
        <v>77322.5</v>
      </c>
      <c r="L16" s="39">
        <f t="shared" si="4"/>
        <v>766.5</v>
      </c>
      <c r="M16" s="1">
        <f>SUM(M6:M15)</f>
        <v>1555.4</v>
      </c>
      <c r="N16" s="51"/>
      <c r="P16" s="54"/>
      <c r="Q16" s="44"/>
    </row>
    <row r="17" spans="8:14" ht="14.25">
      <c r="H17" s="44"/>
      <c r="N17" s="51"/>
    </row>
    <row r="18" spans="6:17" ht="14.25">
      <c r="F18" s="18" t="s">
        <v>16</v>
      </c>
      <c r="G18" s="9">
        <v>75767.1</v>
      </c>
      <c r="I18" s="44"/>
      <c r="L18" s="44"/>
      <c r="N18" s="52"/>
      <c r="Q18" s="44"/>
    </row>
    <row r="19" spans="12:14" ht="14.25">
      <c r="L19" s="44"/>
      <c r="N19" s="51"/>
    </row>
    <row r="20" spans="7:8" ht="11.25">
      <c r="G20" s="44"/>
      <c r="H20" s="44"/>
    </row>
    <row r="21" ht="11.25">
      <c r="G21" s="44"/>
    </row>
  </sheetData>
  <sheetProtection/>
  <mergeCells count="13">
    <mergeCell ref="L3:L4"/>
    <mergeCell ref="C1:H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 verticalCentered="1"/>
  <pageMargins left="0.31496062992125984" right="0.1968503937007874" top="0.1968503937007874" bottom="0.1968503937007874" header="0.15748031496062992" footer="0.15748031496062992"/>
  <pageSetup horizontalDpi="600" verticalDpi="600" orientation="landscape" paperSize="9" scale="8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32" sqref="O32"/>
    </sheetView>
  </sheetViews>
  <sheetFormatPr defaultColWidth="8.00390625" defaultRowHeight="12.75"/>
  <cols>
    <col min="1" max="1" width="3.25390625" style="1" customWidth="1"/>
    <col min="2" max="2" width="22.125" style="1" customWidth="1"/>
    <col min="3" max="5" width="8.75390625" style="19" customWidth="1"/>
    <col min="6" max="7" width="9.00390625" style="19" customWidth="1"/>
    <col min="8" max="10" width="8.75390625" style="19" hidden="1" customWidth="1"/>
    <col min="11" max="14" width="8.75390625" style="19" customWidth="1"/>
    <col min="15" max="15" width="9.875" style="19" customWidth="1"/>
    <col min="16" max="17" width="8.75390625" style="19" customWidth="1"/>
    <col min="18" max="18" width="9.625" style="19" customWidth="1"/>
    <col min="19" max="19" width="10.00390625" style="19" customWidth="1"/>
    <col min="20" max="25" width="8.75390625" style="19" customWidth="1"/>
    <col min="26" max="16384" width="8.00390625" style="1" customWidth="1"/>
  </cols>
  <sheetData>
    <row r="1" spans="2:25" ht="27" customHeight="1">
      <c r="B1" s="61" t="s">
        <v>75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11.25">
      <c r="Y2" s="1" t="s">
        <v>19</v>
      </c>
    </row>
    <row r="3" spans="1:25" ht="30.75" customHeight="1">
      <c r="A3" s="57" t="s">
        <v>0</v>
      </c>
      <c r="B3" s="57" t="s">
        <v>1</v>
      </c>
      <c r="C3" s="59" t="str">
        <f>'[2]МР_П'!C3</f>
        <v>Числен-ность постоян-ного населения, чел</v>
      </c>
      <c r="D3" s="20" t="s">
        <v>20</v>
      </c>
      <c r="E3" s="59" t="s">
        <v>21</v>
      </c>
      <c r="F3" s="62" t="s">
        <v>22</v>
      </c>
      <c r="G3" s="62"/>
      <c r="H3" s="21"/>
      <c r="I3" s="21"/>
      <c r="J3" s="21"/>
      <c r="K3" s="62" t="s">
        <v>23</v>
      </c>
      <c r="L3" s="62"/>
      <c r="M3" s="62"/>
      <c r="N3" s="62"/>
      <c r="O3" s="63" t="s">
        <v>24</v>
      </c>
      <c r="P3" s="64"/>
      <c r="Q3" s="64"/>
      <c r="R3" s="64"/>
      <c r="S3" s="65"/>
      <c r="T3" s="63" t="s">
        <v>25</v>
      </c>
      <c r="U3" s="64"/>
      <c r="V3" s="64"/>
      <c r="W3" s="64"/>
      <c r="X3" s="65"/>
      <c r="Y3" s="66" t="s">
        <v>13</v>
      </c>
    </row>
    <row r="4" spans="1:25" ht="56.25">
      <c r="A4" s="58"/>
      <c r="B4" s="58"/>
      <c r="C4" s="60"/>
      <c r="D4" s="20" t="s">
        <v>26</v>
      </c>
      <c r="E4" s="60"/>
      <c r="F4" s="20" t="s">
        <v>27</v>
      </c>
      <c r="G4" s="20" t="s">
        <v>28</v>
      </c>
      <c r="H4" s="22" t="s">
        <v>29</v>
      </c>
      <c r="I4" s="22" t="s">
        <v>30</v>
      </c>
      <c r="J4" s="22"/>
      <c r="K4" s="20" t="s">
        <v>31</v>
      </c>
      <c r="L4" s="20" t="s">
        <v>32</v>
      </c>
      <c r="M4" s="20" t="s">
        <v>33</v>
      </c>
      <c r="N4" s="20" t="s">
        <v>34</v>
      </c>
      <c r="O4" s="15" t="s">
        <v>35</v>
      </c>
      <c r="P4" s="15" t="s">
        <v>36</v>
      </c>
      <c r="Q4" s="15" t="s">
        <v>37</v>
      </c>
      <c r="R4" s="15" t="s">
        <v>38</v>
      </c>
      <c r="S4" s="15" t="s">
        <v>39</v>
      </c>
      <c r="T4" s="15" t="s">
        <v>35</v>
      </c>
      <c r="U4" s="15" t="s">
        <v>36</v>
      </c>
      <c r="V4" s="15" t="s">
        <v>37</v>
      </c>
      <c r="W4" s="15" t="s">
        <v>38</v>
      </c>
      <c r="X4" s="15" t="s">
        <v>39</v>
      </c>
      <c r="Y4" s="67"/>
    </row>
    <row r="5" spans="1:25" s="5" customFormat="1" ht="11.25">
      <c r="A5" s="4"/>
      <c r="B5" s="4"/>
      <c r="C5" s="4"/>
      <c r="D5" s="4"/>
      <c r="E5" s="4"/>
      <c r="F5" s="4"/>
      <c r="G5" s="4"/>
      <c r="H5" s="23"/>
      <c r="I5" s="23"/>
      <c r="J5" s="23"/>
      <c r="K5" s="4"/>
      <c r="L5" s="4"/>
      <c r="M5" s="4"/>
      <c r="N5" s="4"/>
      <c r="O5" s="4"/>
      <c r="P5" s="4"/>
      <c r="Q5" s="4"/>
      <c r="R5" s="4"/>
      <c r="S5" s="4"/>
      <c r="T5" s="24">
        <v>0.26</v>
      </c>
      <c r="U5" s="24">
        <v>0</v>
      </c>
      <c r="V5" s="24">
        <v>0</v>
      </c>
      <c r="W5" s="24">
        <v>0.35</v>
      </c>
      <c r="X5" s="24">
        <v>0.39</v>
      </c>
      <c r="Y5" s="4"/>
    </row>
    <row r="6" spans="1:25" ht="11.25">
      <c r="A6" s="6">
        <v>1</v>
      </c>
      <c r="B6" s="7" t="s">
        <v>48</v>
      </c>
      <c r="C6" s="49">
        <v>9293</v>
      </c>
      <c r="D6" s="8">
        <v>9293</v>
      </c>
      <c r="E6" s="8"/>
      <c r="F6" s="25">
        <v>2474.44</v>
      </c>
      <c r="G6" s="25">
        <v>49.05</v>
      </c>
      <c r="H6" s="26">
        <v>21467.3</v>
      </c>
      <c r="I6" s="26">
        <f aca="true" t="shared" si="0" ref="I6:I12">F6*H6</f>
        <v>53119545.812</v>
      </c>
      <c r="J6" s="27">
        <f>'ИБР 2024'!G6*'ИБР 2024'!H6/'ИБР 2024'!$H$16</f>
        <v>9.501719605843762</v>
      </c>
      <c r="K6" s="28">
        <f aca="true" t="shared" si="1" ref="K6:K15">IF(C6&lt;&gt;0,0.6+0.4*($C$16/COUNT($A$6:$A$15))/C6,0)</f>
        <v>0.7171591520499301</v>
      </c>
      <c r="L6" s="28">
        <f>IF(C6&lt;&gt;0,1+E6/C6,0)</f>
        <v>1</v>
      </c>
      <c r="M6" s="28">
        <f>IF(C6&lt;&gt;0,1+D6/C6,0)</f>
        <v>2</v>
      </c>
      <c r="N6" s="28">
        <f aca="true" t="shared" si="2" ref="N6:N16">IF($G$16&lt;&gt;0,0.9+0.1*(0.8*F6/$F$16+0.2*G6/$G$16),0)</f>
        <v>1</v>
      </c>
      <c r="O6" s="17">
        <f aca="true" t="shared" si="3" ref="O6:O16">C6*K6</f>
        <v>6664.56</v>
      </c>
      <c r="P6" s="17">
        <f>C6*L6*M6</f>
        <v>18586</v>
      </c>
      <c r="Q6" s="17">
        <f aca="true" t="shared" si="4" ref="Q6:Q16">C6*M6</f>
        <v>18586</v>
      </c>
      <c r="R6" s="17">
        <f aca="true" t="shared" si="5" ref="R6:R16">C6*K6*N6</f>
        <v>6664.56</v>
      </c>
      <c r="S6" s="17">
        <f aca="true" t="shared" si="6" ref="S6:S16">C6*L6</f>
        <v>9293</v>
      </c>
      <c r="T6" s="28">
        <f aca="true" t="shared" si="7" ref="T6:T16">IF(C6&lt;&gt;0,(O6/$C6)/(O$16/$C$16),0)</f>
        <v>0.7171591520499301</v>
      </c>
      <c r="U6" s="28">
        <f aca="true" t="shared" si="8" ref="U6:U16">IF(C6&lt;&gt;0,(P6/$C6)/(P$16/$C$16),0)</f>
        <v>1.2187998096440542</v>
      </c>
      <c r="V6" s="28">
        <f aca="true" t="shared" si="9" ref="V6:V16">IF(C6&lt;&gt;0,(Q6/$C6)/(Q$16/$C$16),0)</f>
        <v>1.4191345151199164</v>
      </c>
      <c r="W6" s="28">
        <f aca="true" t="shared" si="10" ref="W6:W16">IF(C6&lt;&gt;0,(R6/$C6)/(R$16/$C$16),0)</f>
        <v>0.7171591520499301</v>
      </c>
      <c r="X6" s="28">
        <f aca="true" t="shared" si="11" ref="X6:X16">IF(C6&lt;&gt;0,(S6/$C6)/(S$16/$C$16),0)</f>
        <v>0.8588331808285742</v>
      </c>
      <c r="Y6" s="29">
        <f>IF(SUM($T$5:$X$5)=1,T6*$T$5+U6*$U$5+V6*$V$5+W6*$W$5+X6*$X$5,0)</f>
        <v>0.7724120232736013</v>
      </c>
    </row>
    <row r="7" spans="1:25" ht="11.25">
      <c r="A7" s="6">
        <v>2</v>
      </c>
      <c r="B7" s="7" t="s">
        <v>49</v>
      </c>
      <c r="C7" s="49">
        <v>5211</v>
      </c>
      <c r="D7" s="8">
        <v>1848</v>
      </c>
      <c r="E7" s="8">
        <v>1249</v>
      </c>
      <c r="F7" s="25">
        <v>2474.44</v>
      </c>
      <c r="G7" s="25">
        <v>49.05</v>
      </c>
      <c r="H7" s="26">
        <v>13753.5</v>
      </c>
      <c r="I7" s="26">
        <f t="shared" si="0"/>
        <v>34032210.54</v>
      </c>
      <c r="J7" s="27">
        <f>'ИБР 2024'!G7*'ИБР 2024'!H7/'ИБР 2024'!$H$16</f>
        <v>6.087486577211489</v>
      </c>
      <c r="K7" s="28">
        <f t="shared" si="1"/>
        <v>0.8089349453080023</v>
      </c>
      <c r="L7" s="28">
        <f aca="true" t="shared" si="12" ref="L7:L15">IF(C7&lt;&gt;0,1+E7/C7,0)</f>
        <v>1.2396852811360584</v>
      </c>
      <c r="M7" s="28">
        <f aca="true" t="shared" si="13" ref="M7:M15">IF(C7&lt;&gt;0,1+D7/C7,0)</f>
        <v>1.3546344271732873</v>
      </c>
      <c r="N7" s="28">
        <f t="shared" si="2"/>
        <v>1</v>
      </c>
      <c r="O7" s="17">
        <f t="shared" si="3"/>
        <v>4215.36</v>
      </c>
      <c r="P7" s="17">
        <f aca="true" t="shared" si="14" ref="P7:P16">C7*L7*M7</f>
        <v>8750.938399539436</v>
      </c>
      <c r="Q7" s="17">
        <f t="shared" si="4"/>
        <v>7059</v>
      </c>
      <c r="R7" s="17">
        <f t="shared" si="5"/>
        <v>4215.36</v>
      </c>
      <c r="S7" s="17">
        <f t="shared" si="6"/>
        <v>6460</v>
      </c>
      <c r="T7" s="28">
        <f t="shared" si="7"/>
        <v>0.8089349453080023</v>
      </c>
      <c r="U7" s="28">
        <f t="shared" si="8"/>
        <v>1.023377667968289</v>
      </c>
      <c r="V7" s="28">
        <f t="shared" si="9"/>
        <v>0.9612042354856545</v>
      </c>
      <c r="W7" s="28">
        <f t="shared" si="10"/>
        <v>0.8089349453080023</v>
      </c>
      <c r="X7" s="28">
        <f t="shared" si="11"/>
        <v>1.0646828532244463</v>
      </c>
      <c r="Y7" s="29">
        <f aca="true" t="shared" si="15" ref="Y7:Y16">IF(SUM($T$5:$X$5)=1,T7*$T$5+U7*$U$5+V7*$V$5+W7*$W$5+X7*$X$5,0)</f>
        <v>0.9086766293954155</v>
      </c>
    </row>
    <row r="8" spans="1:25" ht="11.25">
      <c r="A8" s="6">
        <v>3</v>
      </c>
      <c r="B8" s="7" t="s">
        <v>50</v>
      </c>
      <c r="C8" s="49">
        <v>2522</v>
      </c>
      <c r="D8" s="8"/>
      <c r="E8" s="8">
        <v>73</v>
      </c>
      <c r="F8" s="25">
        <v>2474.44</v>
      </c>
      <c r="G8" s="25">
        <v>49.05</v>
      </c>
      <c r="H8" s="26">
        <v>16300</v>
      </c>
      <c r="I8" s="26">
        <f t="shared" si="0"/>
        <v>40333372</v>
      </c>
      <c r="J8" s="27">
        <f>'ИБР 2024'!G8*'ИБР 2024'!H8/'ИБР 2024'!$H$16</f>
        <v>7.214602189155289</v>
      </c>
      <c r="K8" s="28">
        <f t="shared" si="1"/>
        <v>1.031704996034893</v>
      </c>
      <c r="L8" s="28">
        <f t="shared" si="12"/>
        <v>1.028945281522601</v>
      </c>
      <c r="M8" s="28">
        <f t="shared" si="13"/>
        <v>1</v>
      </c>
      <c r="N8" s="28">
        <f t="shared" si="2"/>
        <v>1</v>
      </c>
      <c r="O8" s="17">
        <f t="shared" si="3"/>
        <v>2601.96</v>
      </c>
      <c r="P8" s="17">
        <f t="shared" si="14"/>
        <v>2594.9999999999995</v>
      </c>
      <c r="Q8" s="17">
        <f t="shared" si="4"/>
        <v>2522</v>
      </c>
      <c r="R8" s="17">
        <f t="shared" si="5"/>
        <v>2601.96</v>
      </c>
      <c r="S8" s="17">
        <f t="shared" si="6"/>
        <v>2594.9999999999995</v>
      </c>
      <c r="T8" s="28">
        <f t="shared" si="7"/>
        <v>1.031704996034893</v>
      </c>
      <c r="U8" s="28">
        <f t="shared" si="8"/>
        <v>0.627039156626947</v>
      </c>
      <c r="V8" s="28">
        <f t="shared" si="9"/>
        <v>0.7095672575599582</v>
      </c>
      <c r="W8" s="28">
        <f t="shared" si="10"/>
        <v>1.031704996034893</v>
      </c>
      <c r="X8" s="28">
        <f t="shared" si="11"/>
        <v>0.8836923490286082</v>
      </c>
      <c r="Y8" s="29">
        <f t="shared" si="15"/>
        <v>0.9739800637024418</v>
      </c>
    </row>
    <row r="9" spans="1:25" ht="11.25">
      <c r="A9" s="6">
        <v>4</v>
      </c>
      <c r="B9" s="7" t="s">
        <v>51</v>
      </c>
      <c r="C9" s="49">
        <v>761</v>
      </c>
      <c r="D9" s="8"/>
      <c r="E9" s="8">
        <v>761</v>
      </c>
      <c r="F9" s="25">
        <v>2474.44</v>
      </c>
      <c r="G9" s="25">
        <v>49.05</v>
      </c>
      <c r="H9" s="26"/>
      <c r="I9" s="26">
        <f t="shared" si="0"/>
        <v>0</v>
      </c>
      <c r="J9" s="27">
        <f>'ИБР 2024'!G9*'ИБР 2024'!H9/'ИБР 2024'!$H$16</f>
        <v>0</v>
      </c>
      <c r="K9" s="28">
        <f t="shared" si="1"/>
        <v>2.0306964520367936</v>
      </c>
      <c r="L9" s="28">
        <f t="shared" si="12"/>
        <v>2</v>
      </c>
      <c r="M9" s="28">
        <f t="shared" si="13"/>
        <v>1</v>
      </c>
      <c r="N9" s="28">
        <f t="shared" si="2"/>
        <v>1</v>
      </c>
      <c r="O9" s="17">
        <f t="shared" si="3"/>
        <v>1545.36</v>
      </c>
      <c r="P9" s="17">
        <f t="shared" si="14"/>
        <v>1522</v>
      </c>
      <c r="Q9" s="17">
        <f t="shared" si="4"/>
        <v>761</v>
      </c>
      <c r="R9" s="17">
        <f t="shared" si="5"/>
        <v>1545.36</v>
      </c>
      <c r="S9" s="17">
        <f t="shared" si="6"/>
        <v>1522</v>
      </c>
      <c r="T9" s="28">
        <f t="shared" si="7"/>
        <v>2.0306964520367936</v>
      </c>
      <c r="U9" s="28">
        <f t="shared" si="8"/>
        <v>1.2187998096440542</v>
      </c>
      <c r="V9" s="28">
        <f t="shared" si="9"/>
        <v>0.7095672575599582</v>
      </c>
      <c r="W9" s="28">
        <f t="shared" si="10"/>
        <v>2.0306964520367936</v>
      </c>
      <c r="X9" s="28">
        <f t="shared" si="11"/>
        <v>1.7176663616571484</v>
      </c>
      <c r="Y9" s="29">
        <f t="shared" si="15"/>
        <v>1.908614716788732</v>
      </c>
    </row>
    <row r="10" spans="1:25" ht="11.25">
      <c r="A10" s="6">
        <v>5</v>
      </c>
      <c r="B10" s="7" t="s">
        <v>52</v>
      </c>
      <c r="C10" s="49">
        <v>2011</v>
      </c>
      <c r="D10" s="8"/>
      <c r="E10" s="8">
        <v>920</v>
      </c>
      <c r="F10" s="25">
        <v>2474.44</v>
      </c>
      <c r="G10" s="25">
        <v>49.05</v>
      </c>
      <c r="H10" s="26">
        <v>20636.3</v>
      </c>
      <c r="I10" s="26">
        <f t="shared" si="0"/>
        <v>51063286.172</v>
      </c>
      <c r="J10" s="27">
        <f>'ИБР 2024'!G10*'ИБР 2024'!H10/'ИБР 2024'!$H$16</f>
        <v>9.133907678286214</v>
      </c>
      <c r="K10" s="28">
        <f t="shared" si="1"/>
        <v>1.1414022874191945</v>
      </c>
      <c r="L10" s="28">
        <f t="shared" si="12"/>
        <v>1.4574838388861262</v>
      </c>
      <c r="M10" s="28">
        <f t="shared" si="13"/>
        <v>1</v>
      </c>
      <c r="N10" s="28">
        <f t="shared" si="2"/>
        <v>1</v>
      </c>
      <c r="O10" s="17">
        <f t="shared" si="3"/>
        <v>2295.36</v>
      </c>
      <c r="P10" s="17">
        <f t="shared" si="14"/>
        <v>2931</v>
      </c>
      <c r="Q10" s="17">
        <f t="shared" si="4"/>
        <v>2011</v>
      </c>
      <c r="R10" s="17">
        <f t="shared" si="5"/>
        <v>2295.36</v>
      </c>
      <c r="S10" s="17">
        <f t="shared" si="6"/>
        <v>2931</v>
      </c>
      <c r="T10" s="28">
        <f t="shared" si="7"/>
        <v>1.1414022874191945</v>
      </c>
      <c r="U10" s="28">
        <f t="shared" si="8"/>
        <v>0.888190512696848</v>
      </c>
      <c r="V10" s="28">
        <f t="shared" si="9"/>
        <v>0.7095672575599582</v>
      </c>
      <c r="W10" s="28">
        <f t="shared" si="10"/>
        <v>1.1414022874191945</v>
      </c>
      <c r="X10" s="28">
        <f t="shared" si="11"/>
        <v>1.251735481356813</v>
      </c>
      <c r="Y10" s="29">
        <f t="shared" si="15"/>
        <v>1.1844322330548658</v>
      </c>
    </row>
    <row r="11" spans="1:25" ht="11.25">
      <c r="A11" s="6">
        <v>6</v>
      </c>
      <c r="B11" s="7" t="s">
        <v>53</v>
      </c>
      <c r="C11" s="49">
        <v>1812</v>
      </c>
      <c r="D11" s="8"/>
      <c r="E11" s="8">
        <v>599</v>
      </c>
      <c r="F11" s="25">
        <v>2474.44</v>
      </c>
      <c r="G11" s="25">
        <v>49.05</v>
      </c>
      <c r="H11" s="26">
        <v>5640</v>
      </c>
      <c r="I11" s="26">
        <f t="shared" si="0"/>
        <v>13955841.6</v>
      </c>
      <c r="J11" s="27">
        <f>'ИБР 2024'!G11*'ИБР 2024'!H11/'ИБР 2024'!$H$16</f>
        <v>2.4963408801739773</v>
      </c>
      <c r="K11" s="28">
        <f t="shared" si="1"/>
        <v>1.2008609271523178</v>
      </c>
      <c r="L11" s="28">
        <f t="shared" si="12"/>
        <v>1.3305739514348787</v>
      </c>
      <c r="M11" s="28">
        <f t="shared" si="13"/>
        <v>1</v>
      </c>
      <c r="N11" s="28">
        <f t="shared" si="2"/>
        <v>1</v>
      </c>
      <c r="O11" s="17">
        <f t="shared" si="3"/>
        <v>2175.96</v>
      </c>
      <c r="P11" s="17">
        <f t="shared" si="14"/>
        <v>2411</v>
      </c>
      <c r="Q11" s="17">
        <f t="shared" si="4"/>
        <v>1812</v>
      </c>
      <c r="R11" s="17">
        <f t="shared" si="5"/>
        <v>2175.96</v>
      </c>
      <c r="S11" s="17">
        <f t="shared" si="6"/>
        <v>2411</v>
      </c>
      <c r="T11" s="28">
        <f t="shared" si="7"/>
        <v>1.2008609271523178</v>
      </c>
      <c r="U11" s="28">
        <f t="shared" si="8"/>
        <v>0.8108516393630836</v>
      </c>
      <c r="V11" s="28">
        <f t="shared" si="9"/>
        <v>0.7095672575599582</v>
      </c>
      <c r="W11" s="28">
        <f t="shared" si="10"/>
        <v>1.2008609271523178</v>
      </c>
      <c r="X11" s="28">
        <f t="shared" si="11"/>
        <v>1.1427410590384617</v>
      </c>
      <c r="Y11" s="29">
        <f t="shared" si="15"/>
        <v>1.178194178587914</v>
      </c>
    </row>
    <row r="12" spans="1:25" ht="11.25">
      <c r="A12" s="6">
        <v>7</v>
      </c>
      <c r="B12" s="7" t="s">
        <v>54</v>
      </c>
      <c r="C12" s="49">
        <v>893</v>
      </c>
      <c r="D12" s="8"/>
      <c r="E12" s="8">
        <v>144</v>
      </c>
      <c r="F12" s="25">
        <v>2474.44</v>
      </c>
      <c r="G12" s="25">
        <v>49.05</v>
      </c>
      <c r="H12" s="26">
        <v>6002.5</v>
      </c>
      <c r="I12" s="26">
        <f t="shared" si="0"/>
        <v>14852826.1</v>
      </c>
      <c r="J12" s="27">
        <f>'ИБР 2024'!G12*'ИБР 2024'!H12/'ИБР 2024'!$H$16</f>
        <v>2.656788321497216</v>
      </c>
      <c r="K12" s="28">
        <f t="shared" si="1"/>
        <v>1.8192161254199326</v>
      </c>
      <c r="L12" s="28">
        <f t="shared" si="12"/>
        <v>1.1612541993281076</v>
      </c>
      <c r="M12" s="28">
        <f t="shared" si="13"/>
        <v>1</v>
      </c>
      <c r="N12" s="28">
        <f t="shared" si="2"/>
        <v>1</v>
      </c>
      <c r="O12" s="17">
        <f t="shared" si="3"/>
        <v>1624.5599999999997</v>
      </c>
      <c r="P12" s="17">
        <f t="shared" si="14"/>
        <v>1037</v>
      </c>
      <c r="Q12" s="17">
        <f t="shared" si="4"/>
        <v>893</v>
      </c>
      <c r="R12" s="17">
        <f t="shared" si="5"/>
        <v>1624.5599999999997</v>
      </c>
      <c r="S12" s="17">
        <f t="shared" si="6"/>
        <v>1037</v>
      </c>
      <c r="T12" s="28">
        <f t="shared" si="7"/>
        <v>1.8192161254199326</v>
      </c>
      <c r="U12" s="28">
        <f t="shared" si="8"/>
        <v>0.7076681985447281</v>
      </c>
      <c r="V12" s="28">
        <f t="shared" si="9"/>
        <v>0.7095672575599582</v>
      </c>
      <c r="W12" s="28">
        <f t="shared" si="10"/>
        <v>1.8192161254199326</v>
      </c>
      <c r="X12" s="28">
        <f t="shared" si="11"/>
        <v>0.9973236377594977</v>
      </c>
      <c r="Y12" s="29">
        <f t="shared" si="15"/>
        <v>1.498678055232363</v>
      </c>
    </row>
    <row r="13" spans="1:25" ht="11.25">
      <c r="A13" s="6">
        <v>8</v>
      </c>
      <c r="B13" s="7" t="s">
        <v>55</v>
      </c>
      <c r="C13" s="49">
        <v>2013</v>
      </c>
      <c r="D13" s="8"/>
      <c r="E13" s="8"/>
      <c r="F13" s="25">
        <v>2474.44</v>
      </c>
      <c r="G13" s="25">
        <v>49.05</v>
      </c>
      <c r="H13" s="26"/>
      <c r="I13" s="26"/>
      <c r="J13" s="27"/>
      <c r="K13" s="28">
        <f t="shared" si="1"/>
        <v>1.1408643815201192</v>
      </c>
      <c r="L13" s="28">
        <f t="shared" si="12"/>
        <v>1</v>
      </c>
      <c r="M13" s="28">
        <f t="shared" si="13"/>
        <v>1</v>
      </c>
      <c r="N13" s="28">
        <f t="shared" si="2"/>
        <v>1</v>
      </c>
      <c r="O13" s="17">
        <f t="shared" si="3"/>
        <v>2296.56</v>
      </c>
      <c r="P13" s="17">
        <f t="shared" si="14"/>
        <v>2013</v>
      </c>
      <c r="Q13" s="17">
        <f t="shared" si="4"/>
        <v>2013</v>
      </c>
      <c r="R13" s="17">
        <f t="shared" si="5"/>
        <v>2296.56</v>
      </c>
      <c r="S13" s="17">
        <f t="shared" si="6"/>
        <v>2013</v>
      </c>
      <c r="T13" s="28">
        <f t="shared" si="7"/>
        <v>1.1408643815201192</v>
      </c>
      <c r="U13" s="28">
        <f t="shared" si="8"/>
        <v>0.6093999048220271</v>
      </c>
      <c r="V13" s="28">
        <f t="shared" si="9"/>
        <v>0.7095672575599582</v>
      </c>
      <c r="W13" s="28">
        <f t="shared" si="10"/>
        <v>1.1408643815201192</v>
      </c>
      <c r="X13" s="28">
        <f t="shared" si="11"/>
        <v>0.8588331808285742</v>
      </c>
      <c r="Y13" s="29">
        <f t="shared" si="15"/>
        <v>1.0308722132504167</v>
      </c>
    </row>
    <row r="14" spans="1:25" ht="11.25">
      <c r="A14" s="6">
        <v>9</v>
      </c>
      <c r="B14" s="7" t="s">
        <v>56</v>
      </c>
      <c r="C14" s="49">
        <v>734</v>
      </c>
      <c r="D14" s="8"/>
      <c r="E14" s="8">
        <v>274</v>
      </c>
      <c r="F14" s="25">
        <v>2474.44</v>
      </c>
      <c r="G14" s="25">
        <v>49.05</v>
      </c>
      <c r="H14" s="26">
        <v>14166.2</v>
      </c>
      <c r="I14" s="26">
        <f>F14*H14</f>
        <v>35053411.928</v>
      </c>
      <c r="J14" s="27">
        <f>'ИБР 2024'!G14*'ИБР 2024'!H14/'ИБР 2024'!$H$16</f>
        <v>6.270153222822801</v>
      </c>
      <c r="K14" s="28">
        <f t="shared" si="1"/>
        <v>2.083324250681199</v>
      </c>
      <c r="L14" s="28">
        <f t="shared" si="12"/>
        <v>1.3732970027247957</v>
      </c>
      <c r="M14" s="28">
        <f t="shared" si="13"/>
        <v>1</v>
      </c>
      <c r="N14" s="28">
        <f t="shared" si="2"/>
        <v>1</v>
      </c>
      <c r="O14" s="17">
        <f t="shared" si="3"/>
        <v>1529.16</v>
      </c>
      <c r="P14" s="17">
        <f t="shared" si="14"/>
        <v>1008</v>
      </c>
      <c r="Q14" s="17">
        <f t="shared" si="4"/>
        <v>734</v>
      </c>
      <c r="R14" s="17">
        <f t="shared" si="5"/>
        <v>1529.16</v>
      </c>
      <c r="S14" s="17">
        <f t="shared" si="6"/>
        <v>1008</v>
      </c>
      <c r="T14" s="28">
        <f t="shared" si="7"/>
        <v>2.083324250681199</v>
      </c>
      <c r="U14" s="28">
        <f t="shared" si="8"/>
        <v>0.8368870627528656</v>
      </c>
      <c r="V14" s="28">
        <f t="shared" si="9"/>
        <v>0.7095672575599582</v>
      </c>
      <c r="W14" s="28">
        <f t="shared" si="10"/>
        <v>2.083324250681199</v>
      </c>
      <c r="X14" s="28">
        <f t="shared" si="11"/>
        <v>1.1794330330724834</v>
      </c>
      <c r="Y14" s="29">
        <f t="shared" si="15"/>
        <v>1.7308066758137999</v>
      </c>
    </row>
    <row r="15" spans="1:25" ht="11.25">
      <c r="A15" s="6">
        <v>10</v>
      </c>
      <c r="B15" s="7" t="s">
        <v>57</v>
      </c>
      <c r="C15" s="49">
        <v>1969</v>
      </c>
      <c r="D15" s="8"/>
      <c r="E15" s="8">
        <v>454</v>
      </c>
      <c r="F15" s="25">
        <v>2474.44</v>
      </c>
      <c r="G15" s="25">
        <v>49.05</v>
      </c>
      <c r="H15" s="26">
        <v>12853.2</v>
      </c>
      <c r="I15" s="26">
        <f>F15*H15</f>
        <v>31804472.208000004</v>
      </c>
      <c r="J15" s="27">
        <f>'ИБР 2024'!G15*'ИБР 2024'!H15/'ИБР 2024'!$H$16</f>
        <v>5.689001525009249</v>
      </c>
      <c r="K15" s="28">
        <f t="shared" si="1"/>
        <v>1.1529507364144236</v>
      </c>
      <c r="L15" s="28">
        <f t="shared" si="12"/>
        <v>1.2305738953783647</v>
      </c>
      <c r="M15" s="28">
        <f t="shared" si="13"/>
        <v>1</v>
      </c>
      <c r="N15" s="28">
        <f t="shared" si="2"/>
        <v>1</v>
      </c>
      <c r="O15" s="17">
        <f t="shared" si="3"/>
        <v>2270.16</v>
      </c>
      <c r="P15" s="17">
        <f t="shared" si="14"/>
        <v>2423</v>
      </c>
      <c r="Q15" s="17">
        <f t="shared" si="4"/>
        <v>1969</v>
      </c>
      <c r="R15" s="17">
        <f t="shared" si="5"/>
        <v>2270.16</v>
      </c>
      <c r="S15" s="17">
        <f t="shared" si="6"/>
        <v>2423</v>
      </c>
      <c r="T15" s="28">
        <f t="shared" si="7"/>
        <v>1.1529507364144236</v>
      </c>
      <c r="U15" s="28">
        <f t="shared" si="8"/>
        <v>0.7499116147200466</v>
      </c>
      <c r="V15" s="28">
        <f t="shared" si="9"/>
        <v>0.7095672575599582</v>
      </c>
      <c r="W15" s="28">
        <f t="shared" si="10"/>
        <v>1.1529507364144236</v>
      </c>
      <c r="X15" s="28">
        <f t="shared" si="11"/>
        <v>1.05685769281241</v>
      </c>
      <c r="Y15" s="29">
        <f t="shared" si="15"/>
        <v>1.1154744494096382</v>
      </c>
    </row>
    <row r="16" spans="1:25" ht="12.75">
      <c r="A16" s="12"/>
      <c r="B16" s="13" t="s">
        <v>11</v>
      </c>
      <c r="C16" s="13">
        <f>SUM(C6:C15)</f>
        <v>27219</v>
      </c>
      <c r="D16" s="30">
        <f>SUM(D6:D15)</f>
        <v>11141</v>
      </c>
      <c r="E16" s="30">
        <f>SUM(E6:E15)</f>
        <v>4474</v>
      </c>
      <c r="F16" s="25">
        <v>2474.44</v>
      </c>
      <c r="G16" s="25">
        <v>49.05</v>
      </c>
      <c r="H16" s="31">
        <f>SUM(H6:H15)</f>
        <v>110819</v>
      </c>
      <c r="I16" s="31">
        <f>SUM(I6:I15)</f>
        <v>274214966.36</v>
      </c>
      <c r="J16" s="32">
        <f>SUM(J6:J15)</f>
        <v>49.04999999999999</v>
      </c>
      <c r="K16" s="29">
        <f>IF(C16&lt;&gt;0,0.6+0.4*($C$16/COUNT($A$6:$A$15))/(C16/COUNT($A$6:$A$15)),0)</f>
        <v>1</v>
      </c>
      <c r="L16" s="29">
        <f>IF(C16&lt;&gt;0,1+E16/C16,0)</f>
        <v>1.1643704765053822</v>
      </c>
      <c r="M16" s="29">
        <f>IF(C16&lt;&gt;0,1+D16/C16,0)</f>
        <v>1.4093096733899115</v>
      </c>
      <c r="N16" s="29">
        <f t="shared" si="2"/>
        <v>1</v>
      </c>
      <c r="O16" s="33">
        <f t="shared" si="3"/>
        <v>27219</v>
      </c>
      <c r="P16" s="33">
        <f t="shared" si="14"/>
        <v>44665.25147874646</v>
      </c>
      <c r="Q16" s="33">
        <f t="shared" si="4"/>
        <v>38360</v>
      </c>
      <c r="R16" s="33">
        <f t="shared" si="5"/>
        <v>27219</v>
      </c>
      <c r="S16" s="33">
        <f t="shared" si="6"/>
        <v>31692.999999999996</v>
      </c>
      <c r="T16" s="29">
        <f t="shared" si="7"/>
        <v>1</v>
      </c>
      <c r="U16" s="29">
        <f t="shared" si="8"/>
        <v>1</v>
      </c>
      <c r="V16" s="29">
        <f t="shared" si="9"/>
        <v>1</v>
      </c>
      <c r="W16" s="29">
        <f t="shared" si="10"/>
        <v>1</v>
      </c>
      <c r="X16" s="29">
        <f t="shared" si="11"/>
        <v>1</v>
      </c>
      <c r="Y16" s="29">
        <f t="shared" si="15"/>
        <v>1</v>
      </c>
    </row>
    <row r="17" spans="3:25" ht="11.2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3:25" ht="11.25"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3:25" ht="11.25"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</sheetData>
  <sheetProtection/>
  <mergeCells count="10">
    <mergeCell ref="O3:S3"/>
    <mergeCell ref="T3:X3"/>
    <mergeCell ref="Y3:Y4"/>
    <mergeCell ref="B1:N1"/>
    <mergeCell ref="A3:A4"/>
    <mergeCell ref="B3:B4"/>
    <mergeCell ref="C3:C4"/>
    <mergeCell ref="E3:E4"/>
    <mergeCell ref="F3:G3"/>
    <mergeCell ref="K3:N3"/>
  </mergeCells>
  <printOptions horizontalCentered="1" verticalCentered="1"/>
  <pageMargins left="0.31496062992125984" right="0.1968503937007874" top="0.1968503937007874" bottom="0.1968503937007874" header="0.15748031496062992" footer="0.15748031496062992"/>
  <pageSetup horizontalDpi="600" verticalDpi="600" orientation="landscape" paperSize="9" scale="85" r:id="rId1"/>
  <colBreaks count="1" manualBreakCount="1">
    <brk id="14" max="4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X16"/>
  <sheetViews>
    <sheetView zoomScaleSheetLayoutView="100" zoomScalePageLayoutView="0" workbookViewId="0" topLeftCell="A1">
      <pane xSplit="2" ySplit="5" topLeftCell="E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31" sqref="T30:T31"/>
    </sheetView>
  </sheetViews>
  <sheetFormatPr defaultColWidth="8.00390625" defaultRowHeight="12.75"/>
  <cols>
    <col min="1" max="1" width="3.25390625" style="1" customWidth="1"/>
    <col min="2" max="2" width="22.125" style="1" customWidth="1"/>
    <col min="3" max="3" width="10.875" style="1" customWidth="1"/>
    <col min="4" max="24" width="12.00390625" style="1" customWidth="1"/>
    <col min="25" max="16384" width="8.00390625" style="1" customWidth="1"/>
  </cols>
  <sheetData>
    <row r="1" spans="3:24" ht="27" customHeight="1">
      <c r="C1" s="61" t="s">
        <v>72</v>
      </c>
      <c r="D1" s="61"/>
      <c r="E1" s="61"/>
      <c r="F1" s="61"/>
      <c r="G1" s="61"/>
      <c r="H1" s="61"/>
      <c r="I1" s="61"/>
      <c r="J1" s="61"/>
      <c r="K1" s="6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3" spans="1:24" ht="30.75" customHeight="1">
      <c r="A3" s="69" t="s">
        <v>0</v>
      </c>
      <c r="B3" s="69" t="s">
        <v>1</v>
      </c>
      <c r="C3" s="70" t="s">
        <v>2</v>
      </c>
      <c r="D3" s="69" t="s">
        <v>3</v>
      </c>
      <c r="E3" s="69"/>
      <c r="F3" s="69"/>
      <c r="G3" s="69"/>
      <c r="H3" s="69" t="s">
        <v>4</v>
      </c>
      <c r="I3" s="69"/>
      <c r="J3" s="69"/>
      <c r="K3" s="69"/>
      <c r="L3" s="69" t="s">
        <v>5</v>
      </c>
      <c r="M3" s="69"/>
      <c r="N3" s="69"/>
      <c r="O3" s="69"/>
      <c r="P3" s="69" t="s">
        <v>6</v>
      </c>
      <c r="Q3" s="69"/>
      <c r="R3" s="69"/>
      <c r="S3" s="69"/>
      <c r="T3" s="68" t="s">
        <v>7</v>
      </c>
      <c r="U3" s="68" t="s">
        <v>44</v>
      </c>
      <c r="V3" s="68" t="s">
        <v>45</v>
      </c>
      <c r="W3" s="68" t="s">
        <v>46</v>
      </c>
      <c r="X3" s="68" t="s">
        <v>47</v>
      </c>
    </row>
    <row r="4" spans="1:24" ht="90" customHeight="1">
      <c r="A4" s="69"/>
      <c r="B4" s="69"/>
      <c r="C4" s="70"/>
      <c r="D4" s="3" t="s">
        <v>8</v>
      </c>
      <c r="E4" s="46" t="s">
        <v>65</v>
      </c>
      <c r="F4" s="3" t="s">
        <v>9</v>
      </c>
      <c r="G4" s="3" t="str">
        <f>"Налоговый потенциал по репрезента-тивной налоговой ставке  "&amp;FIXED(F16,6)&amp;", контингент"</f>
        <v>Налоговый потенциал по репрезента-тивной налоговой ставке  0,131507, контингент</v>
      </c>
      <c r="H4" s="3" t="s">
        <v>12</v>
      </c>
      <c r="I4" s="46" t="s">
        <v>66</v>
      </c>
      <c r="J4" s="3" t="s">
        <v>9</v>
      </c>
      <c r="K4" s="3" t="str">
        <f>"Налоговый потенциал по репрезента-тивной налоговой ставке  "&amp;FIXED(J16,6)&amp;", контингент"</f>
        <v>Налоговый потенциал по репрезента-тивной налоговой ставке  0,005616, контингент</v>
      </c>
      <c r="L4" s="3" t="s">
        <v>12</v>
      </c>
      <c r="M4" s="46" t="s">
        <v>66</v>
      </c>
      <c r="N4" s="3" t="s">
        <v>9</v>
      </c>
      <c r="O4" s="3" t="str">
        <f>"Налоговый потенциал по репрезента-тивной налоговой ставке  "&amp;FIXED(N16,6)&amp;", контингент"</f>
        <v>Налоговый потенциал по репрезента-тивной налоговой ставке  0,003000, контингент</v>
      </c>
      <c r="P4" s="3" t="s">
        <v>12</v>
      </c>
      <c r="Q4" s="46" t="s">
        <v>67</v>
      </c>
      <c r="R4" s="3" t="s">
        <v>9</v>
      </c>
      <c r="S4" s="3" t="str">
        <f>"Налоговый потенциал по репрезента-тивной налоговой ставке  "&amp;FIXED(R16,6)&amp;", контингент"</f>
        <v>Налоговый потенциал по репрезента-тивной налоговой ставке  0,030000, контингент</v>
      </c>
      <c r="T4" s="68"/>
      <c r="U4" s="68"/>
      <c r="V4" s="68"/>
      <c r="W4" s="68"/>
      <c r="X4" s="68"/>
    </row>
    <row r="5" spans="1:24" s="5" customFormat="1" ht="11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2.75">
      <c r="A6" s="6">
        <v>1</v>
      </c>
      <c r="B6" s="7" t="s">
        <v>48</v>
      </c>
      <c r="C6" s="49">
        <v>9293</v>
      </c>
      <c r="D6" s="71">
        <v>606878.3</v>
      </c>
      <c r="E6" s="71"/>
      <c r="F6" s="10" t="s">
        <v>10</v>
      </c>
      <c r="G6" s="11">
        <f aca="true" t="shared" si="0" ref="G6:G15">D6*$F$16*0.1</f>
        <v>7980.856110870016</v>
      </c>
      <c r="H6" s="71">
        <v>115639</v>
      </c>
      <c r="I6" s="71">
        <v>3469.1</v>
      </c>
      <c r="J6" s="10" t="s">
        <v>10</v>
      </c>
      <c r="K6" s="11">
        <f aca="true" t="shared" si="1" ref="K6:K15">H6*$J$16</f>
        <v>649.4394526870609</v>
      </c>
      <c r="L6" s="71">
        <v>2160000</v>
      </c>
      <c r="M6" s="71">
        <v>6480</v>
      </c>
      <c r="N6" s="10" t="s">
        <v>10</v>
      </c>
      <c r="O6" s="11">
        <f aca="true" t="shared" si="2" ref="O6:O15">L6*$N$16</f>
        <v>6480.000058970742</v>
      </c>
      <c r="P6" s="71">
        <v>13000</v>
      </c>
      <c r="Q6" s="71">
        <v>390</v>
      </c>
      <c r="R6" s="10" t="s">
        <v>10</v>
      </c>
      <c r="S6" s="11">
        <f aca="true" t="shared" si="3" ref="S6:S15">P6*$R$16</f>
        <v>390.00303735182035</v>
      </c>
      <c r="T6" s="11">
        <f aca="true" t="shared" si="4" ref="T6:T16">S6+O6+K6+G6</f>
        <v>15500.29865987964</v>
      </c>
      <c r="U6" s="45">
        <v>550.9</v>
      </c>
      <c r="V6" s="11">
        <f>T6+U6</f>
        <v>16051.19865987964</v>
      </c>
      <c r="W6" s="11">
        <f>IF(C6&lt;&gt;0,V6/C6,0)</f>
        <v>1.7272354094350197</v>
      </c>
      <c r="X6" s="36">
        <f aca="true" t="shared" si="5" ref="X6:X16">IF($W$16&lt;&gt;0,W6/$W$16,0)</f>
        <v>0.7942743096531075</v>
      </c>
    </row>
    <row r="7" spans="1:24" ht="12.75">
      <c r="A7" s="6">
        <v>2</v>
      </c>
      <c r="B7" s="7" t="s">
        <v>49</v>
      </c>
      <c r="C7" s="49">
        <v>5211</v>
      </c>
      <c r="D7" s="71">
        <v>340303.8</v>
      </c>
      <c r="E7" s="71"/>
      <c r="F7" s="10" t="s">
        <v>10</v>
      </c>
      <c r="G7" s="11">
        <f t="shared" si="0"/>
        <v>4475.222893588859</v>
      </c>
      <c r="H7" s="71">
        <v>475800</v>
      </c>
      <c r="I7" s="71">
        <v>1427.4</v>
      </c>
      <c r="J7" s="10" t="s">
        <v>10</v>
      </c>
      <c r="K7" s="11">
        <f t="shared" si="1"/>
        <v>2672.1373549451623</v>
      </c>
      <c r="L7" s="71">
        <v>1169333.3</v>
      </c>
      <c r="M7" s="71">
        <v>3508</v>
      </c>
      <c r="N7" s="10" t="s">
        <v>10</v>
      </c>
      <c r="O7" s="11">
        <f t="shared" si="2"/>
        <v>3507.9999319242843</v>
      </c>
      <c r="P7" s="71">
        <v>24900.1</v>
      </c>
      <c r="Q7" s="71">
        <v>747</v>
      </c>
      <c r="R7" s="10" t="s">
        <v>10</v>
      </c>
      <c r="S7" s="11">
        <f t="shared" si="3"/>
        <v>747.0088177203124</v>
      </c>
      <c r="T7" s="11">
        <f t="shared" si="4"/>
        <v>11402.36899817862</v>
      </c>
      <c r="U7" s="45">
        <v>309</v>
      </c>
      <c r="V7" s="11">
        <f aca="true" t="shared" si="6" ref="V7:V15">T7+U7</f>
        <v>11711.36899817862</v>
      </c>
      <c r="W7" s="11">
        <f aca="true" t="shared" si="7" ref="W7:W16">IF(C7&lt;&gt;0,V7/C7,0)</f>
        <v>2.247432162383155</v>
      </c>
      <c r="X7" s="36">
        <f t="shared" si="5"/>
        <v>1.0334883244739475</v>
      </c>
    </row>
    <row r="8" spans="1:24" ht="12.75">
      <c r="A8" s="6">
        <v>3</v>
      </c>
      <c r="B8" s="7" t="s">
        <v>50</v>
      </c>
      <c r="C8" s="49">
        <v>2522</v>
      </c>
      <c r="D8" s="71">
        <v>164698.9</v>
      </c>
      <c r="E8" s="71"/>
      <c r="F8" s="10" t="s">
        <v>10</v>
      </c>
      <c r="G8" s="11">
        <f t="shared" si="0"/>
        <v>2165.900844565656</v>
      </c>
      <c r="H8" s="71">
        <v>163666.7</v>
      </c>
      <c r="I8" s="71">
        <v>491</v>
      </c>
      <c r="J8" s="10" t="s">
        <v>10</v>
      </c>
      <c r="K8" s="11">
        <f t="shared" si="1"/>
        <v>919.1675133051774</v>
      </c>
      <c r="L8" s="71">
        <v>827000</v>
      </c>
      <c r="M8" s="71">
        <v>2481</v>
      </c>
      <c r="N8" s="10" t="s">
        <v>10</v>
      </c>
      <c r="O8" s="11">
        <f t="shared" si="2"/>
        <v>2481.00002257815</v>
      </c>
      <c r="P8" s="71">
        <v>29994.2</v>
      </c>
      <c r="Q8" s="71">
        <v>899.8</v>
      </c>
      <c r="R8" s="10" t="s">
        <v>10</v>
      </c>
      <c r="S8" s="11">
        <f t="shared" si="3"/>
        <v>899.8330079183055</v>
      </c>
      <c r="T8" s="11">
        <f t="shared" si="4"/>
        <v>6465.901388367289</v>
      </c>
      <c r="U8" s="45">
        <v>149.6</v>
      </c>
      <c r="V8" s="11">
        <f t="shared" si="6"/>
        <v>6615.501388367289</v>
      </c>
      <c r="W8" s="11">
        <f t="shared" si="7"/>
        <v>2.623117124649996</v>
      </c>
      <c r="X8" s="36">
        <f t="shared" si="5"/>
        <v>1.206248165096457</v>
      </c>
    </row>
    <row r="9" spans="1:24" ht="12.75">
      <c r="A9" s="6">
        <v>4</v>
      </c>
      <c r="B9" s="7" t="s">
        <v>51</v>
      </c>
      <c r="C9" s="49">
        <v>761</v>
      </c>
      <c r="D9" s="71">
        <v>49697</v>
      </c>
      <c r="E9" s="71"/>
      <c r="F9" s="10" t="s">
        <v>10</v>
      </c>
      <c r="G9" s="11">
        <f t="shared" si="0"/>
        <v>653.5488353132864</v>
      </c>
      <c r="H9" s="71">
        <v>58672.1</v>
      </c>
      <c r="I9" s="71">
        <v>176</v>
      </c>
      <c r="J9" s="10" t="s">
        <v>10</v>
      </c>
      <c r="K9" s="11">
        <f t="shared" si="1"/>
        <v>329.5080077828458</v>
      </c>
      <c r="L9" s="71">
        <v>343666.7</v>
      </c>
      <c r="M9" s="71">
        <v>1031</v>
      </c>
      <c r="N9" s="10" t="s">
        <v>10</v>
      </c>
      <c r="O9" s="11">
        <f t="shared" si="2"/>
        <v>1031.0001093825374</v>
      </c>
      <c r="P9" s="71">
        <v>28768.7</v>
      </c>
      <c r="Q9" s="71">
        <v>863.1</v>
      </c>
      <c r="R9" s="10" t="s">
        <v>10</v>
      </c>
      <c r="S9" s="11">
        <f t="shared" si="3"/>
        <v>863.0677215894858</v>
      </c>
      <c r="T9" s="11">
        <f t="shared" si="4"/>
        <v>2877.1246740681554</v>
      </c>
      <c r="U9" s="45">
        <v>45.1</v>
      </c>
      <c r="V9" s="11">
        <f t="shared" si="6"/>
        <v>2922.2246740681553</v>
      </c>
      <c r="W9" s="11">
        <f t="shared" si="7"/>
        <v>3.839979860799153</v>
      </c>
      <c r="X9" s="36">
        <f t="shared" si="5"/>
        <v>1.7658260920066131</v>
      </c>
    </row>
    <row r="10" spans="1:24" ht="12.75">
      <c r="A10" s="6">
        <v>5</v>
      </c>
      <c r="B10" s="7" t="s">
        <v>52</v>
      </c>
      <c r="C10" s="49">
        <v>2011</v>
      </c>
      <c r="D10" s="71">
        <v>131328.1</v>
      </c>
      <c r="E10" s="71"/>
      <c r="F10" s="10" t="s">
        <v>10</v>
      </c>
      <c r="G10" s="11">
        <f t="shared" si="0"/>
        <v>1727.052473970397</v>
      </c>
      <c r="H10" s="71">
        <v>72333.3</v>
      </c>
      <c r="I10" s="71">
        <v>217</v>
      </c>
      <c r="J10" s="10" t="s">
        <v>10</v>
      </c>
      <c r="K10" s="11">
        <f t="shared" si="1"/>
        <v>406.23058624727804</v>
      </c>
      <c r="L10" s="71">
        <v>728000</v>
      </c>
      <c r="M10" s="71">
        <v>2184</v>
      </c>
      <c r="N10" s="10" t="s">
        <v>10</v>
      </c>
      <c r="O10" s="11">
        <f t="shared" si="2"/>
        <v>2184.0000198753246</v>
      </c>
      <c r="P10" s="71">
        <v>2566.7</v>
      </c>
      <c r="Q10" s="71">
        <v>77</v>
      </c>
      <c r="R10" s="10" t="s">
        <v>10</v>
      </c>
      <c r="S10" s="11">
        <f t="shared" si="3"/>
        <v>77.00159969007056</v>
      </c>
      <c r="T10" s="11">
        <f t="shared" si="4"/>
        <v>4394.28467978307</v>
      </c>
      <c r="U10" s="45">
        <v>119.3</v>
      </c>
      <c r="V10" s="11">
        <f t="shared" si="6"/>
        <v>4513.58467978307</v>
      </c>
      <c r="W10" s="11">
        <f t="shared" si="7"/>
        <v>2.2444478765703977</v>
      </c>
      <c r="X10" s="36">
        <f t="shared" si="5"/>
        <v>1.0321159918198186</v>
      </c>
    </row>
    <row r="11" spans="1:24" ht="12.75">
      <c r="A11" s="6">
        <v>6</v>
      </c>
      <c r="B11" s="7" t="s">
        <v>53</v>
      </c>
      <c r="C11" s="49">
        <v>1812</v>
      </c>
      <c r="D11" s="71">
        <v>118332.5</v>
      </c>
      <c r="E11" s="71"/>
      <c r="F11" s="10" t="s">
        <v>10</v>
      </c>
      <c r="G11" s="11">
        <f t="shared" si="0"/>
        <v>1556.1516299718185</v>
      </c>
      <c r="H11" s="71">
        <v>59000</v>
      </c>
      <c r="I11" s="71">
        <v>177</v>
      </c>
      <c r="J11" s="10" t="s">
        <v>10</v>
      </c>
      <c r="K11" s="11">
        <f t="shared" si="1"/>
        <v>331.3495248881138</v>
      </c>
      <c r="L11" s="71">
        <v>604333.3</v>
      </c>
      <c r="M11" s="71">
        <v>1813</v>
      </c>
      <c r="N11" s="10" t="s">
        <v>10</v>
      </c>
      <c r="O11" s="11">
        <f t="shared" si="2"/>
        <v>1812.9999164990666</v>
      </c>
      <c r="P11" s="71">
        <v>63105.5</v>
      </c>
      <c r="Q11" s="71">
        <v>1893.2</v>
      </c>
      <c r="R11" s="10" t="s">
        <v>10</v>
      </c>
      <c r="S11" s="11">
        <f t="shared" si="3"/>
        <v>1893.1797441234846</v>
      </c>
      <c r="T11" s="11">
        <f t="shared" si="4"/>
        <v>5593.680815482484</v>
      </c>
      <c r="U11" s="45">
        <v>107.5</v>
      </c>
      <c r="V11" s="11">
        <f t="shared" si="6"/>
        <v>5701.180815482484</v>
      </c>
      <c r="W11" s="11">
        <f t="shared" si="7"/>
        <v>3.146347028411967</v>
      </c>
      <c r="X11" s="36">
        <f t="shared" si="5"/>
        <v>1.4468569832866425</v>
      </c>
    </row>
    <row r="12" spans="1:24" ht="12.75">
      <c r="A12" s="6">
        <v>7</v>
      </c>
      <c r="B12" s="7" t="s">
        <v>54</v>
      </c>
      <c r="C12" s="49">
        <v>893</v>
      </c>
      <c r="D12" s="71">
        <v>58317.3</v>
      </c>
      <c r="E12" s="71"/>
      <c r="F12" s="10" t="s">
        <v>10</v>
      </c>
      <c r="G12" s="11">
        <f t="shared" si="0"/>
        <v>766.9115538888769</v>
      </c>
      <c r="H12" s="71">
        <v>38000</v>
      </c>
      <c r="I12" s="71">
        <v>114</v>
      </c>
      <c r="J12" s="10" t="s">
        <v>10</v>
      </c>
      <c r="K12" s="11">
        <f t="shared" si="1"/>
        <v>213.411558402514</v>
      </c>
      <c r="L12" s="71">
        <v>327333.3</v>
      </c>
      <c r="M12" s="71">
        <v>982</v>
      </c>
      <c r="N12" s="10" t="s">
        <v>10</v>
      </c>
      <c r="O12" s="11">
        <f t="shared" si="2"/>
        <v>981.9999089366147</v>
      </c>
      <c r="P12" s="71">
        <v>54.5</v>
      </c>
      <c r="Q12" s="71">
        <v>1.6</v>
      </c>
      <c r="R12" s="10" t="s">
        <v>10</v>
      </c>
      <c r="S12" s="11">
        <f t="shared" si="3"/>
        <v>1.6350127335134008</v>
      </c>
      <c r="T12" s="11">
        <f t="shared" si="4"/>
        <v>1963.958033961519</v>
      </c>
      <c r="U12" s="45">
        <v>53</v>
      </c>
      <c r="V12" s="11">
        <f t="shared" si="6"/>
        <v>2016.958033961519</v>
      </c>
      <c r="W12" s="11">
        <f t="shared" si="7"/>
        <v>2.258631616978185</v>
      </c>
      <c r="X12" s="36">
        <f t="shared" si="5"/>
        <v>1.0386384267810027</v>
      </c>
    </row>
    <row r="13" spans="1:24" ht="12.75">
      <c r="A13" s="6">
        <v>8</v>
      </c>
      <c r="B13" s="7" t="s">
        <v>55</v>
      </c>
      <c r="C13" s="49">
        <v>2013</v>
      </c>
      <c r="D13" s="71">
        <v>131458.7</v>
      </c>
      <c r="E13" s="71"/>
      <c r="F13" s="10" t="s">
        <v>10</v>
      </c>
      <c r="G13" s="11">
        <f t="shared" si="0"/>
        <v>1728.7699514417113</v>
      </c>
      <c r="H13" s="71">
        <v>75333.7</v>
      </c>
      <c r="I13" s="71">
        <v>226</v>
      </c>
      <c r="J13" s="10" t="s">
        <v>10</v>
      </c>
      <c r="K13" s="11">
        <f t="shared" si="1"/>
        <v>423.0811136112492</v>
      </c>
      <c r="L13" s="71">
        <v>703000</v>
      </c>
      <c r="M13" s="71">
        <v>2109</v>
      </c>
      <c r="N13" s="10" t="s">
        <v>10</v>
      </c>
      <c r="O13" s="11">
        <f t="shared" si="2"/>
        <v>2109.0000191927925</v>
      </c>
      <c r="P13" s="71">
        <v>20179</v>
      </c>
      <c r="Q13" s="71">
        <v>605.4</v>
      </c>
      <c r="R13" s="10" t="s">
        <v>10</v>
      </c>
      <c r="S13" s="11">
        <f t="shared" si="3"/>
        <v>605.3747146709526</v>
      </c>
      <c r="T13" s="11">
        <f t="shared" si="4"/>
        <v>4866.225798916706</v>
      </c>
      <c r="U13" s="45">
        <v>119.4</v>
      </c>
      <c r="V13" s="11">
        <f t="shared" si="6"/>
        <v>4985.625798916705</v>
      </c>
      <c r="W13" s="11">
        <f t="shared" si="7"/>
        <v>2.4767142567892226</v>
      </c>
      <c r="X13" s="36">
        <f t="shared" si="5"/>
        <v>1.1389243734661154</v>
      </c>
    </row>
    <row r="14" spans="1:24" ht="12.75">
      <c r="A14" s="6">
        <v>9</v>
      </c>
      <c r="B14" s="7" t="s">
        <v>56</v>
      </c>
      <c r="C14" s="49">
        <v>734</v>
      </c>
      <c r="D14" s="71">
        <v>47933.8</v>
      </c>
      <c r="E14" s="71"/>
      <c r="F14" s="10" t="s">
        <v>10</v>
      </c>
      <c r="G14" s="11">
        <f t="shared" si="0"/>
        <v>630.3615743835646</v>
      </c>
      <c r="H14" s="71">
        <v>25666.7</v>
      </c>
      <c r="I14" s="71">
        <v>77</v>
      </c>
      <c r="J14" s="10" t="s">
        <v>10</v>
      </c>
      <c r="K14" s="11">
        <f t="shared" si="1"/>
        <v>144.1465906855212</v>
      </c>
      <c r="L14" s="71">
        <v>160333.3</v>
      </c>
      <c r="M14" s="71">
        <v>481</v>
      </c>
      <c r="N14" s="10" t="s">
        <v>10</v>
      </c>
      <c r="O14" s="11">
        <f t="shared" si="2"/>
        <v>480.99990437730264</v>
      </c>
      <c r="P14" s="71">
        <v>429.2</v>
      </c>
      <c r="Q14" s="71">
        <v>12.9</v>
      </c>
      <c r="R14" s="10" t="s">
        <v>10</v>
      </c>
      <c r="S14" s="11">
        <f t="shared" si="3"/>
        <v>12.876100279338562</v>
      </c>
      <c r="T14" s="11">
        <f t="shared" si="4"/>
        <v>1268.3841697257271</v>
      </c>
      <c r="U14" s="45">
        <v>43.5</v>
      </c>
      <c r="V14" s="11">
        <f t="shared" si="6"/>
        <v>1311.8841697257271</v>
      </c>
      <c r="W14" s="11">
        <f t="shared" si="7"/>
        <v>1.7873081331413176</v>
      </c>
      <c r="X14" s="36">
        <f t="shared" si="5"/>
        <v>0.821898929256297</v>
      </c>
    </row>
    <row r="15" spans="1:24" ht="12.75">
      <c r="A15" s="6">
        <v>10</v>
      </c>
      <c r="B15" s="7" t="s">
        <v>57</v>
      </c>
      <c r="C15" s="49">
        <v>1969</v>
      </c>
      <c r="D15" s="71">
        <v>128585.4</v>
      </c>
      <c r="E15" s="71"/>
      <c r="F15" s="10" t="s">
        <v>10</v>
      </c>
      <c r="G15" s="11">
        <f t="shared" si="0"/>
        <v>1690.9841320058165</v>
      </c>
      <c r="H15" s="71">
        <v>109333.7</v>
      </c>
      <c r="I15" s="71">
        <v>328</v>
      </c>
      <c r="J15" s="10" t="s">
        <v>10</v>
      </c>
      <c r="K15" s="11">
        <f t="shared" si="1"/>
        <v>614.0282974450774</v>
      </c>
      <c r="L15" s="71">
        <v>302666.7</v>
      </c>
      <c r="M15" s="71">
        <v>908</v>
      </c>
      <c r="N15" s="10" t="s">
        <v>10</v>
      </c>
      <c r="O15" s="11">
        <f t="shared" si="2"/>
        <v>908.0001082631853</v>
      </c>
      <c r="P15" s="71">
        <v>1044</v>
      </c>
      <c r="Q15" s="71">
        <v>31.3</v>
      </c>
      <c r="R15" s="10" t="s">
        <v>10</v>
      </c>
      <c r="S15" s="11">
        <f t="shared" si="3"/>
        <v>31.32024392271542</v>
      </c>
      <c r="T15" s="11">
        <f t="shared" si="4"/>
        <v>3244.3327816367946</v>
      </c>
      <c r="U15" s="45">
        <v>116.8</v>
      </c>
      <c r="V15" s="11">
        <f t="shared" si="6"/>
        <v>3361.132781636795</v>
      </c>
      <c r="W15" s="11">
        <f t="shared" si="7"/>
        <v>1.7070252827002512</v>
      </c>
      <c r="X15" s="36">
        <f t="shared" si="5"/>
        <v>0.7849806231222654</v>
      </c>
    </row>
    <row r="16" spans="1:24" ht="12.75">
      <c r="A16" s="12"/>
      <c r="B16" s="13" t="s">
        <v>11</v>
      </c>
      <c r="C16" s="13">
        <f>SUM(C6:C15)</f>
        <v>27219</v>
      </c>
      <c r="D16" s="14">
        <f>SUM(D6:D15)</f>
        <v>1777533.8</v>
      </c>
      <c r="E16" s="14">
        <v>233757.6</v>
      </c>
      <c r="F16" s="13">
        <f>IF(D16&lt;&gt;0,E16/D16,0)</f>
        <v>0.1315066976504188</v>
      </c>
      <c r="G16" s="14">
        <f>SUM(G6:G15)</f>
        <v>23375.76</v>
      </c>
      <c r="H16" s="14">
        <f>SUM(H6:H15)</f>
        <v>1193445.2</v>
      </c>
      <c r="I16" s="14">
        <f>SUM(I6:I15)</f>
        <v>6702.5</v>
      </c>
      <c r="J16" s="13">
        <f>IF(H16&lt;&gt;0,I16/H16,0)</f>
        <v>0.005616093642171421</v>
      </c>
      <c r="K16" s="14">
        <f>SUM(K6:K15)</f>
        <v>6702.499999999999</v>
      </c>
      <c r="L16" s="14">
        <f>SUM(L6:L15)</f>
        <v>7325666.6</v>
      </c>
      <c r="M16" s="14">
        <f>SUM(M6:M15)</f>
        <v>21977</v>
      </c>
      <c r="N16" s="13">
        <f>IF(L16&lt;&gt;0,M16/L16,0)</f>
        <v>0.00300000002730127</v>
      </c>
      <c r="O16" s="14">
        <f>SUM(O6:O15)</f>
        <v>21977</v>
      </c>
      <c r="P16" s="14">
        <f>P6+P7+P8+P9+P10+P11+P12+P13++P14+P15</f>
        <v>184041.90000000002</v>
      </c>
      <c r="Q16" s="14">
        <f>SUM(Q6:Q15)</f>
        <v>5521.3</v>
      </c>
      <c r="R16" s="13">
        <f>IF(P16&lt;&gt;0,Q16/P16,0)</f>
        <v>0.03000023364244772</v>
      </c>
      <c r="S16" s="14">
        <f>SUM(S6:S15)</f>
        <v>5521.3</v>
      </c>
      <c r="T16" s="14">
        <f t="shared" si="4"/>
        <v>57576.56</v>
      </c>
      <c r="U16" s="14">
        <f>SUM(U6:U15)</f>
        <v>1614.1</v>
      </c>
      <c r="V16" s="14">
        <f>U16+T16</f>
        <v>59190.659999999996</v>
      </c>
      <c r="W16" s="42">
        <f t="shared" si="7"/>
        <v>2.174608178110878</v>
      </c>
      <c r="X16" s="14">
        <f t="shared" si="5"/>
        <v>1</v>
      </c>
    </row>
  </sheetData>
  <sheetProtection/>
  <mergeCells count="13">
    <mergeCell ref="C1:K1"/>
    <mergeCell ref="A3:A4"/>
    <mergeCell ref="B3:B4"/>
    <mergeCell ref="C3:C4"/>
    <mergeCell ref="D3:G3"/>
    <mergeCell ref="H3:K3"/>
    <mergeCell ref="X3:X4"/>
    <mergeCell ref="L3:O3"/>
    <mergeCell ref="P3:S3"/>
    <mergeCell ref="T3:T4"/>
    <mergeCell ref="U3:U4"/>
    <mergeCell ref="V3:V4"/>
    <mergeCell ref="W3:W4"/>
  </mergeCells>
  <printOptions horizontalCentered="1" verticalCentered="1"/>
  <pageMargins left="0.31496062992125984" right="0.1968503937007874" top="0.1968503937007874" bottom="0.1968503937007874" header="0.15748031496062992" footer="0.15748031496062992"/>
  <pageSetup horizontalDpi="600" verticalDpi="600" orientation="landscape" paperSize="9" scale="70" r:id="rId1"/>
  <colBreaks count="1" manualBreakCount="1">
    <brk id="15" max="2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1"/>
  <sheetViews>
    <sheetView zoomScaleSheetLayoutView="11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25" sqref="K25"/>
    </sheetView>
  </sheetViews>
  <sheetFormatPr defaultColWidth="8.00390625" defaultRowHeight="12.75"/>
  <cols>
    <col min="1" max="1" width="3.25390625" style="1" customWidth="1"/>
    <col min="2" max="2" width="22.125" style="1" customWidth="1"/>
    <col min="3" max="7" width="10.875" style="1" customWidth="1"/>
    <col min="8" max="8" width="9.875" style="1" customWidth="1"/>
    <col min="9" max="9" width="12.125" style="1" customWidth="1"/>
    <col min="10" max="10" width="10.625" style="1" customWidth="1"/>
    <col min="11" max="11" width="10.125" style="1" customWidth="1"/>
    <col min="12" max="12" width="9.25390625" style="1" customWidth="1"/>
    <col min="13" max="14" width="9.00390625" style="1" customWidth="1"/>
    <col min="15" max="16384" width="8.00390625" style="1" customWidth="1"/>
  </cols>
  <sheetData>
    <row r="1" spans="3:8" ht="27" customHeight="1">
      <c r="C1" s="61" t="s">
        <v>74</v>
      </c>
      <c r="D1" s="61"/>
      <c r="E1" s="61"/>
      <c r="F1" s="61"/>
      <c r="G1" s="61"/>
      <c r="H1" s="61"/>
    </row>
    <row r="2" ht="12"/>
    <row r="3" spans="1:12" ht="30.75" customHeight="1">
      <c r="A3" s="69" t="s">
        <v>0</v>
      </c>
      <c r="B3" s="69" t="s">
        <v>1</v>
      </c>
      <c r="C3" s="70" t="s">
        <v>2</v>
      </c>
      <c r="D3" s="68" t="s">
        <v>47</v>
      </c>
      <c r="E3" s="66" t="s">
        <v>18</v>
      </c>
      <c r="F3" s="66" t="s">
        <v>14</v>
      </c>
      <c r="G3" s="66" t="s">
        <v>15</v>
      </c>
      <c r="H3" s="66" t="s">
        <v>17</v>
      </c>
      <c r="I3" s="62" t="s">
        <v>42</v>
      </c>
      <c r="J3" s="62" t="s">
        <v>40</v>
      </c>
      <c r="K3" s="66" t="s">
        <v>43</v>
      </c>
      <c r="L3" s="62" t="s">
        <v>41</v>
      </c>
    </row>
    <row r="4" spans="1:14" ht="90" customHeight="1">
      <c r="A4" s="69"/>
      <c r="B4" s="69"/>
      <c r="C4" s="70"/>
      <c r="D4" s="68"/>
      <c r="E4" s="67"/>
      <c r="F4" s="67"/>
      <c r="G4" s="67"/>
      <c r="H4" s="67"/>
      <c r="I4" s="62"/>
      <c r="J4" s="62"/>
      <c r="K4" s="67"/>
      <c r="L4" s="62"/>
      <c r="N4" s="48"/>
    </row>
    <row r="5" spans="1:12" s="5" customFormat="1" ht="12">
      <c r="A5" s="4"/>
      <c r="B5" s="4"/>
      <c r="C5" s="4"/>
      <c r="D5" s="4"/>
      <c r="E5" s="4"/>
      <c r="F5" s="4"/>
      <c r="G5" s="16">
        <v>0.7</v>
      </c>
      <c r="H5" s="16">
        <v>1757.6</v>
      </c>
      <c r="I5" s="4"/>
      <c r="J5" s="4"/>
      <c r="K5" s="4"/>
      <c r="L5" s="4"/>
    </row>
    <row r="6" spans="1:17" ht="12.75">
      <c r="A6" s="6">
        <v>1</v>
      </c>
      <c r="B6" s="7" t="s">
        <v>48</v>
      </c>
      <c r="C6" s="49">
        <v>9407</v>
      </c>
      <c r="D6" s="28">
        <f>'ИНП 2022'!X6</f>
        <v>1.0854337358559119</v>
      </c>
      <c r="E6" s="28">
        <f>'ИБР 2022'!Y6</f>
        <v>0.7724120232736013</v>
      </c>
      <c r="F6" s="36">
        <f>IF(E6&lt;&gt;0,D6/E6,0)</f>
        <v>1.405252252878815</v>
      </c>
      <c r="G6" s="17">
        <f aca="true" t="shared" si="0" ref="G6:G15">IF(F6&lt;$G$5,($G$5-F6)*E6*$G$18*C6/$C$16,0)</f>
        <v>0</v>
      </c>
      <c r="H6" s="17">
        <f aca="true" t="shared" si="1" ref="H6:H16">IF($G$16&lt;&gt;0,ROUND(G6/$G$16*$H$5,1),0)</f>
        <v>0</v>
      </c>
      <c r="I6" s="47">
        <f>22057.1+M6</f>
        <v>22608</v>
      </c>
      <c r="J6" s="40">
        <f>I6+H6</f>
        <v>22608</v>
      </c>
      <c r="K6" s="41">
        <v>22608</v>
      </c>
      <c r="L6" s="40">
        <f>J6-K6</f>
        <v>0</v>
      </c>
      <c r="M6" s="45">
        <v>550.9</v>
      </c>
      <c r="N6" s="50"/>
      <c r="P6" s="54"/>
      <c r="Q6" s="44"/>
    </row>
    <row r="7" spans="1:17" ht="14.25">
      <c r="A7" s="6">
        <v>2</v>
      </c>
      <c r="B7" s="7" t="s">
        <v>49</v>
      </c>
      <c r="C7" s="49">
        <v>5336</v>
      </c>
      <c r="D7" s="28">
        <f>'ИНП 2022'!X7</f>
        <v>0.7721763915720711</v>
      </c>
      <c r="E7" s="28">
        <f>'ИБР 2022'!Y7</f>
        <v>0.9086766293954155</v>
      </c>
      <c r="F7" s="36">
        <f aca="true" t="shared" si="2" ref="F7:F16">IF(E7&lt;&gt;0,D7/E7,0)</f>
        <v>0.8497812825733569</v>
      </c>
      <c r="G7" s="17">
        <f t="shared" si="0"/>
        <v>0</v>
      </c>
      <c r="H7" s="17">
        <f t="shared" si="1"/>
        <v>0</v>
      </c>
      <c r="I7" s="47">
        <f>11888.9+M7</f>
        <v>12197.9</v>
      </c>
      <c r="J7" s="40">
        <f aca="true" t="shared" si="3" ref="J7:J16">I7+H7</f>
        <v>12197.9</v>
      </c>
      <c r="K7" s="41">
        <v>12197.9</v>
      </c>
      <c r="L7" s="40">
        <f aca="true" t="shared" si="4" ref="L7:L16">J7-K7</f>
        <v>0</v>
      </c>
      <c r="M7" s="45">
        <v>309</v>
      </c>
      <c r="N7" s="51"/>
      <c r="P7" s="54"/>
      <c r="Q7" s="44"/>
    </row>
    <row r="8" spans="1:17" ht="14.25">
      <c r="A8" s="6">
        <v>3</v>
      </c>
      <c r="B8" s="7" t="s">
        <v>50</v>
      </c>
      <c r="C8" s="49">
        <v>2523</v>
      </c>
      <c r="D8" s="28">
        <f>'ИНП 2022'!X8</f>
        <v>1.1924702965340426</v>
      </c>
      <c r="E8" s="28">
        <f>'ИБР 2022'!Y8</f>
        <v>0.9739800637024418</v>
      </c>
      <c r="F8" s="36">
        <f t="shared" si="2"/>
        <v>1.2243272126136158</v>
      </c>
      <c r="G8" s="17">
        <f t="shared" si="0"/>
        <v>0</v>
      </c>
      <c r="H8" s="17">
        <f t="shared" si="1"/>
        <v>0</v>
      </c>
      <c r="I8" s="47">
        <f>7745+M8</f>
        <v>7894.6</v>
      </c>
      <c r="J8" s="40">
        <f t="shared" si="3"/>
        <v>7894.6</v>
      </c>
      <c r="K8" s="41">
        <v>7894.6</v>
      </c>
      <c r="L8" s="40">
        <f t="shared" si="4"/>
        <v>0</v>
      </c>
      <c r="M8" s="45">
        <v>149.6</v>
      </c>
      <c r="N8" s="51"/>
      <c r="P8" s="54"/>
      <c r="Q8" s="44"/>
    </row>
    <row r="9" spans="1:17" ht="14.25">
      <c r="A9" s="6">
        <v>4</v>
      </c>
      <c r="B9" s="7" t="s">
        <v>51</v>
      </c>
      <c r="C9" s="49">
        <v>775</v>
      </c>
      <c r="D9" s="28">
        <f>'ИНП 2022'!X9</f>
        <v>1.6642924018738339</v>
      </c>
      <c r="E9" s="28">
        <f>'ИБР 2022'!Y9</f>
        <v>1.908614716788732</v>
      </c>
      <c r="F9" s="36">
        <f t="shared" si="2"/>
        <v>0.8719897144427486</v>
      </c>
      <c r="G9" s="17">
        <f t="shared" si="0"/>
        <v>0</v>
      </c>
      <c r="H9" s="17">
        <f t="shared" si="1"/>
        <v>0</v>
      </c>
      <c r="I9" s="47">
        <f>3603.9+M9</f>
        <v>3649</v>
      </c>
      <c r="J9" s="40">
        <f t="shared" si="3"/>
        <v>3649</v>
      </c>
      <c r="K9" s="41">
        <v>3649</v>
      </c>
      <c r="L9" s="40">
        <f t="shared" si="4"/>
        <v>0</v>
      </c>
      <c r="M9" s="45">
        <v>45.1</v>
      </c>
      <c r="N9" s="51"/>
      <c r="P9" s="54"/>
      <c r="Q9" s="44"/>
    </row>
    <row r="10" spans="1:17" ht="14.25">
      <c r="A10" s="6">
        <v>5</v>
      </c>
      <c r="B10" s="7" t="s">
        <v>52</v>
      </c>
      <c r="C10" s="49">
        <v>2072</v>
      </c>
      <c r="D10" s="28">
        <f>'ИНП 2022'!X10</f>
        <v>0.9257604408529622</v>
      </c>
      <c r="E10" s="28">
        <f>'ИБР 2022'!Y10</f>
        <v>1.1844322330548658</v>
      </c>
      <c r="F10" s="36">
        <f t="shared" si="2"/>
        <v>0.7816069294781499</v>
      </c>
      <c r="G10" s="17">
        <f t="shared" si="0"/>
        <v>0</v>
      </c>
      <c r="H10" s="17">
        <f t="shared" si="1"/>
        <v>0</v>
      </c>
      <c r="I10" s="47">
        <f>5991.2+M10</f>
        <v>6110.5</v>
      </c>
      <c r="J10" s="40">
        <f t="shared" si="3"/>
        <v>6110.5</v>
      </c>
      <c r="K10" s="41">
        <v>6110.5</v>
      </c>
      <c r="L10" s="40">
        <f t="shared" si="4"/>
        <v>0</v>
      </c>
      <c r="M10" s="45">
        <v>119.3</v>
      </c>
      <c r="N10" s="51"/>
      <c r="P10" s="54"/>
      <c r="Q10" s="44"/>
    </row>
    <row r="11" spans="1:17" ht="14.25">
      <c r="A11" s="6">
        <v>6</v>
      </c>
      <c r="B11" s="7" t="s">
        <v>53</v>
      </c>
      <c r="C11" s="49">
        <v>1865</v>
      </c>
      <c r="D11" s="28">
        <f>'ИНП 2022'!X11</f>
        <v>1.3856423203674786</v>
      </c>
      <c r="E11" s="28">
        <f>'ИБР 2022'!Y11</f>
        <v>1.178194178587914</v>
      </c>
      <c r="F11" s="36">
        <f t="shared" si="2"/>
        <v>1.1760729644991073</v>
      </c>
      <c r="G11" s="17">
        <f t="shared" si="0"/>
        <v>0</v>
      </c>
      <c r="H11" s="17">
        <f t="shared" si="1"/>
        <v>0</v>
      </c>
      <c r="I11" s="47">
        <f>6805.2+M11</f>
        <v>6912.7</v>
      </c>
      <c r="J11" s="40">
        <f t="shared" si="3"/>
        <v>6912.7</v>
      </c>
      <c r="K11" s="41">
        <v>6912.7</v>
      </c>
      <c r="L11" s="40">
        <f t="shared" si="4"/>
        <v>0</v>
      </c>
      <c r="M11" s="45">
        <v>107.5</v>
      </c>
      <c r="N11" s="51"/>
      <c r="P11" s="54"/>
      <c r="Q11" s="44"/>
    </row>
    <row r="12" spans="1:17" ht="14.25">
      <c r="A12" s="6">
        <v>7</v>
      </c>
      <c r="B12" s="7" t="s">
        <v>54</v>
      </c>
      <c r="C12" s="49">
        <v>926</v>
      </c>
      <c r="D12" s="28">
        <v>1.243</v>
      </c>
      <c r="E12" s="28">
        <f>'ИБР 2022'!Y12</f>
        <v>1.498678055232363</v>
      </c>
      <c r="F12" s="36">
        <f t="shared" si="2"/>
        <v>0.8293976118888848</v>
      </c>
      <c r="G12" s="17">
        <f t="shared" si="0"/>
        <v>0</v>
      </c>
      <c r="H12" s="17">
        <f t="shared" si="1"/>
        <v>0</v>
      </c>
      <c r="I12" s="47">
        <f>2462+M12</f>
        <v>2515</v>
      </c>
      <c r="J12" s="40">
        <f t="shared" si="3"/>
        <v>2515</v>
      </c>
      <c r="K12" s="41">
        <v>2515</v>
      </c>
      <c r="L12" s="40">
        <f t="shared" si="4"/>
        <v>0</v>
      </c>
      <c r="M12" s="45">
        <v>53</v>
      </c>
      <c r="N12" s="51"/>
      <c r="P12" s="54"/>
      <c r="Q12" s="44"/>
    </row>
    <row r="13" spans="1:17" ht="14.25">
      <c r="A13" s="6">
        <v>8</v>
      </c>
      <c r="B13" s="7" t="s">
        <v>55</v>
      </c>
      <c r="C13" s="49">
        <v>2023</v>
      </c>
      <c r="D13" s="28">
        <f>'ИНП 2022'!X13</f>
        <v>1.0156608886853662</v>
      </c>
      <c r="E13" s="28">
        <f>'ИБР 2022'!Y13</f>
        <v>1.0308722132504167</v>
      </c>
      <c r="F13" s="36">
        <f t="shared" si="2"/>
        <v>0.985244219051081</v>
      </c>
      <c r="G13" s="17">
        <f t="shared" si="0"/>
        <v>0</v>
      </c>
      <c r="H13" s="17">
        <f t="shared" si="1"/>
        <v>0</v>
      </c>
      <c r="I13" s="47">
        <f>6547.1+M13</f>
        <v>6666.5</v>
      </c>
      <c r="J13" s="40">
        <f t="shared" si="3"/>
        <v>6666.5</v>
      </c>
      <c r="K13" s="41">
        <v>6666.5</v>
      </c>
      <c r="L13" s="40">
        <f t="shared" si="4"/>
        <v>0</v>
      </c>
      <c r="M13" s="45">
        <v>119.4</v>
      </c>
      <c r="N13" s="51"/>
      <c r="P13" s="54"/>
      <c r="Q13" s="44"/>
    </row>
    <row r="14" spans="1:17" ht="14.25">
      <c r="A14" s="6">
        <v>9</v>
      </c>
      <c r="B14" s="7" t="s">
        <v>56</v>
      </c>
      <c r="C14" s="49">
        <v>723</v>
      </c>
      <c r="D14" s="28">
        <v>0.825</v>
      </c>
      <c r="E14" s="28">
        <f>'ИБР 2022'!Y14</f>
        <v>1.7308066758137999</v>
      </c>
      <c r="F14" s="36">
        <f t="shared" si="2"/>
        <v>0.47665635424712993</v>
      </c>
      <c r="G14" s="17">
        <f t="shared" si="0"/>
        <v>735.5060210895505</v>
      </c>
      <c r="H14" s="17">
        <f t="shared" si="1"/>
        <v>735.5</v>
      </c>
      <c r="I14" s="47">
        <f>1678.1+M14</f>
        <v>1721.6</v>
      </c>
      <c r="J14" s="40">
        <f t="shared" si="3"/>
        <v>2457.1</v>
      </c>
      <c r="K14" s="41">
        <v>1721.6</v>
      </c>
      <c r="L14" s="40">
        <f t="shared" si="4"/>
        <v>735.5</v>
      </c>
      <c r="M14" s="45">
        <v>43.5</v>
      </c>
      <c r="N14" s="51"/>
      <c r="P14" s="54"/>
      <c r="Q14" s="44"/>
    </row>
    <row r="15" spans="1:17" ht="14.25">
      <c r="A15" s="6">
        <v>10</v>
      </c>
      <c r="B15" s="7" t="s">
        <v>57</v>
      </c>
      <c r="C15" s="49">
        <v>1977</v>
      </c>
      <c r="D15" s="28">
        <f>'ИНП 2022'!X15</f>
        <v>0.5843814066505221</v>
      </c>
      <c r="E15" s="28">
        <f>'ИБР 2022'!Y15</f>
        <v>1.1154744494096382</v>
      </c>
      <c r="F15" s="36">
        <f t="shared" si="2"/>
        <v>0.5238859634658636</v>
      </c>
      <c r="G15" s="17">
        <f t="shared" si="0"/>
        <v>1022.0827058310778</v>
      </c>
      <c r="H15" s="17">
        <f t="shared" si="1"/>
        <v>1022.1</v>
      </c>
      <c r="I15" s="47">
        <f>3925.7+M15</f>
        <v>4042.5</v>
      </c>
      <c r="J15" s="40">
        <f t="shared" si="3"/>
        <v>5064.6</v>
      </c>
      <c r="K15" s="41">
        <v>4042.5</v>
      </c>
      <c r="L15" s="40">
        <f t="shared" si="4"/>
        <v>1022.1000000000004</v>
      </c>
      <c r="M15" s="45">
        <v>116.8</v>
      </c>
      <c r="N15" s="51"/>
      <c r="P15" s="54"/>
      <c r="Q15" s="44"/>
    </row>
    <row r="16" spans="1:17" ht="14.25">
      <c r="A16" s="12"/>
      <c r="B16" s="13" t="s">
        <v>11</v>
      </c>
      <c r="C16" s="43">
        <f>SUM(C6:C15)</f>
        <v>27627</v>
      </c>
      <c r="D16" s="37">
        <f>'ИНП 2022'!X16</f>
        <v>1</v>
      </c>
      <c r="E16" s="37">
        <f>'ИБР 2022'!Y16</f>
        <v>1</v>
      </c>
      <c r="F16" s="38">
        <f t="shared" si="2"/>
        <v>1</v>
      </c>
      <c r="G16" s="39">
        <f>SUM(G6:G15)</f>
        <v>1757.5887269206282</v>
      </c>
      <c r="H16" s="39">
        <f t="shared" si="1"/>
        <v>1757.6</v>
      </c>
      <c r="I16" s="39">
        <f>I6+I7+I8+I9+I10+I11+I12+I13+I14+I15</f>
        <v>74318.3</v>
      </c>
      <c r="J16" s="39">
        <f t="shared" si="3"/>
        <v>76075.90000000001</v>
      </c>
      <c r="K16" s="39">
        <f>SUM(K6:K15)</f>
        <v>74318.3</v>
      </c>
      <c r="L16" s="39">
        <f t="shared" si="4"/>
        <v>1757.6000000000058</v>
      </c>
      <c r="M16" s="56">
        <f>SUM(M6:M15)</f>
        <v>1614.1</v>
      </c>
      <c r="N16" s="51"/>
      <c r="P16" s="54"/>
      <c r="Q16" s="44"/>
    </row>
    <row r="17" spans="8:14" ht="14.25">
      <c r="H17" s="44"/>
      <c r="I17" s="44"/>
      <c r="N17" s="52"/>
    </row>
    <row r="18" spans="6:17" ht="14.25">
      <c r="F18" s="18" t="s">
        <v>16</v>
      </c>
      <c r="G18" s="9">
        <v>72704.2</v>
      </c>
      <c r="I18" s="44"/>
      <c r="L18" s="44"/>
      <c r="N18" s="52"/>
      <c r="Q18" s="44"/>
    </row>
    <row r="19" spans="12:14" ht="14.25">
      <c r="L19" s="44"/>
      <c r="N19" s="51"/>
    </row>
    <row r="20" ht="11.25">
      <c r="G20" s="44"/>
    </row>
    <row r="21" ht="11.25">
      <c r="G21" s="44"/>
    </row>
  </sheetData>
  <sheetProtection/>
  <mergeCells count="13">
    <mergeCell ref="L3:L4"/>
    <mergeCell ref="C1:H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 verticalCentered="1"/>
  <pageMargins left="0.31496062992125984" right="0.1968503937007874" top="0.1968503937007874" bottom="0.1968503937007874" header="0.15748031496062992" footer="0.15748031496062992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kulikova</cp:lastModifiedBy>
  <cp:lastPrinted>2021-10-14T09:53:49Z</cp:lastPrinted>
  <dcterms:created xsi:type="dcterms:W3CDTF">2008-12-18T12:36:24Z</dcterms:created>
  <dcterms:modified xsi:type="dcterms:W3CDTF">2021-10-14T10:30:53Z</dcterms:modified>
  <cp:category/>
  <cp:version/>
  <cp:contentType/>
  <cp:contentStatus/>
</cp:coreProperties>
</file>