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425" activeTab="8"/>
  </bookViews>
  <sheets>
    <sheet name="ИБР 2024" sheetId="1" r:id="rId1"/>
    <sheet name="ИНП 2024" sheetId="2" r:id="rId2"/>
    <sheet name="Дот2024" sheetId="3" r:id="rId3"/>
    <sheet name="ИБР 2025" sheetId="4" r:id="rId4"/>
    <sheet name="ИНП 2025" sheetId="5" r:id="rId5"/>
    <sheet name="Дот2025" sheetId="6" r:id="rId6"/>
    <sheet name="ИБР 2026" sheetId="7" r:id="rId7"/>
    <sheet name="ИНП 2026" sheetId="8" r:id="rId8"/>
    <sheet name="Дот2026" sheetId="9" r:id="rId9"/>
    <sheet name="Лист1" sheetId="10" r:id="rId10"/>
  </sheets>
  <externalReferences>
    <externalReference r:id="rId13"/>
    <externalReference r:id="rId14"/>
  </externalReferences>
  <definedNames>
    <definedName name="lst2">'[1]rr'!$D$5:$E$46</definedName>
    <definedName name="vb">'[1]rr'!$D$3</definedName>
    <definedName name="_xlnm.Print_Titles" localSheetId="2">'Дот2024'!$A:$B</definedName>
    <definedName name="_xlnm.Print_Titles" localSheetId="5">'Дот2025'!$A:$B</definedName>
    <definedName name="_xlnm.Print_Titles" localSheetId="8">'Дот2026'!$A:$B</definedName>
    <definedName name="_xlnm.Print_Titles" localSheetId="0">'ИБР 2024'!$A:$B</definedName>
    <definedName name="_xlnm.Print_Titles" localSheetId="3">'ИБР 2025'!$A:$B</definedName>
    <definedName name="_xlnm.Print_Titles" localSheetId="6">'ИБР 2026'!$A:$B</definedName>
    <definedName name="_xlnm.Print_Titles" localSheetId="1">'ИНП 2024'!$A:$B</definedName>
    <definedName name="_xlnm.Print_Titles" localSheetId="4">'ИНП 2025'!$A:$B</definedName>
    <definedName name="_xlnm.Print_Titles" localSheetId="7">'ИНП 2026'!$A:$B</definedName>
    <definedName name="_xlnm.Print_Area" localSheetId="2">'Дот2024'!$A$1:$H$16</definedName>
    <definedName name="_xlnm.Print_Area" localSheetId="5">'Дот2025'!$A$1:$H$16</definedName>
    <definedName name="_xlnm.Print_Area" localSheetId="8">'Дот2026'!$A$1:$H$16</definedName>
    <definedName name="_xlnm.Print_Area" localSheetId="0">'ИБР 2024'!$A$1:$Y$16</definedName>
    <definedName name="_xlnm.Print_Area" localSheetId="3">'ИБР 2025'!$A$1:$Y$16</definedName>
    <definedName name="_xlnm.Print_Area" localSheetId="6">'ИБР 2026'!$A$1:$Y$16</definedName>
    <definedName name="_xlnm.Print_Area" localSheetId="1">'ИНП 2024'!$A$1:$X$16</definedName>
    <definedName name="_xlnm.Print_Area" localSheetId="4">'ИНП 2025'!$A$1:$X$16</definedName>
    <definedName name="_xlnm.Print_Area" localSheetId="7">'ИНП 2026'!$A$1:$X$16</definedName>
  </definedNames>
  <calcPr fullCalcOnLoad="1"/>
</workbook>
</file>

<file path=xl/comments3.xml><?xml version="1.0" encoding="utf-8"?>
<comments xmlns="http://schemas.openxmlformats.org/spreadsheetml/2006/main">
  <authors>
    <author>МФ</author>
  </authors>
  <commentList>
    <comment ref="G5" authorId="0">
      <text>
        <r>
          <rPr>
            <sz val="8"/>
            <rFont val="Tahoma"/>
            <family val="2"/>
          </rPr>
          <t>Занесите в ячейку уровень, выбранный в качестве критерия выравнивания (например, 1 или 0,85, или 1,15 или любой другой )</t>
        </r>
      </text>
    </comment>
    <comment ref="G18" authorId="0">
      <text>
        <r>
          <rPr>
            <b/>
            <sz val="8"/>
            <rFont val="Tahoma"/>
            <family val="2"/>
          </rPr>
          <t>З</t>
        </r>
        <r>
          <rPr>
            <sz val="8"/>
            <rFont val="Tahoma"/>
            <family val="2"/>
          </rPr>
          <t>анесите в ячейку прогнозный объем налоговых и неналоговых доходов поселений</t>
        </r>
      </text>
    </comment>
    <comment ref="H5" authorId="0">
      <text>
        <r>
          <rPr>
            <sz val="8"/>
            <rFont val="Tahoma"/>
            <family val="2"/>
          </rPr>
          <t>Занесите в ячейку общую сумму распределяемых дотаций</t>
        </r>
      </text>
    </comment>
  </commentList>
</comments>
</file>

<file path=xl/comments6.xml><?xml version="1.0" encoding="utf-8"?>
<comments xmlns="http://schemas.openxmlformats.org/spreadsheetml/2006/main">
  <authors>
    <author>МФ</author>
  </authors>
  <commentList>
    <comment ref="G5" authorId="0">
      <text>
        <r>
          <rPr>
            <sz val="8"/>
            <rFont val="Tahoma"/>
            <family val="2"/>
          </rPr>
          <t>Занесите в ячейку уровень, выбранный в качестве критерия выравнивания (например, 1 или 0,85, или 1,15 или любой другой )</t>
        </r>
      </text>
    </comment>
    <comment ref="H5" authorId="0">
      <text>
        <r>
          <rPr>
            <sz val="8"/>
            <rFont val="Tahoma"/>
            <family val="2"/>
          </rPr>
          <t>Занесите в ячейку общую сумму распределяемых дотаций</t>
        </r>
      </text>
    </comment>
    <comment ref="G18" authorId="0">
      <text>
        <r>
          <rPr>
            <b/>
            <sz val="8"/>
            <rFont val="Tahoma"/>
            <family val="2"/>
          </rPr>
          <t>З</t>
        </r>
        <r>
          <rPr>
            <sz val="8"/>
            <rFont val="Tahoma"/>
            <family val="2"/>
          </rPr>
          <t>анесите в ячейку прогнозный объем налоговых и неналоговых доходов поселений</t>
        </r>
      </text>
    </comment>
  </commentList>
</comments>
</file>

<file path=xl/comments9.xml><?xml version="1.0" encoding="utf-8"?>
<comments xmlns="http://schemas.openxmlformats.org/spreadsheetml/2006/main">
  <authors>
    <author>МФ</author>
  </authors>
  <commentList>
    <comment ref="G5" authorId="0">
      <text>
        <r>
          <rPr>
            <sz val="8"/>
            <rFont val="Tahoma"/>
            <family val="2"/>
          </rPr>
          <t>Занесите в ячейку уровень, выбранный в качестве критерия выравнивания (например, 1 или 0,85, или 1,15 или любой другой )</t>
        </r>
      </text>
    </comment>
    <comment ref="H5" authorId="0">
      <text>
        <r>
          <rPr>
            <sz val="8"/>
            <rFont val="Tahoma"/>
            <family val="2"/>
          </rPr>
          <t>Занесите в ячейку общую сумму распределяемых дотаций</t>
        </r>
      </text>
    </comment>
    <comment ref="G18" authorId="0">
      <text>
        <r>
          <rPr>
            <b/>
            <sz val="8"/>
            <rFont val="Tahoma"/>
            <family val="2"/>
          </rPr>
          <t>З</t>
        </r>
        <r>
          <rPr>
            <sz val="8"/>
            <rFont val="Tahoma"/>
            <family val="2"/>
          </rPr>
          <t>анесите в ячейку прогнозный объем налоговых и неналоговых доходов поселений</t>
        </r>
      </text>
    </comment>
  </commentList>
</comments>
</file>

<file path=xl/sharedStrings.xml><?xml version="1.0" encoding="utf-8"?>
<sst xmlns="http://schemas.openxmlformats.org/spreadsheetml/2006/main" count="426" uniqueCount="76">
  <si>
    <t>№</t>
  </si>
  <si>
    <t>Поселения</t>
  </si>
  <si>
    <t>Числен-ность постоян-ного населения, чел</t>
  </si>
  <si>
    <t>НДФЛ</t>
  </si>
  <si>
    <t>Налог на имущество физлиц</t>
  </si>
  <si>
    <t>Земельный налог</t>
  </si>
  <si>
    <t>Единый сельхозналог</t>
  </si>
  <si>
    <t>Суммарный налоговый потенциал поселений</t>
  </si>
  <si>
    <t>База налого-обложения (ФОТ)</t>
  </si>
  <si>
    <t>Расчетная ставка</t>
  </si>
  <si>
    <t>Х</t>
  </si>
  <si>
    <t>ИТОГО</t>
  </si>
  <si>
    <t>База налого-обложения</t>
  </si>
  <si>
    <t>Сводный индекс бюджет-ных расходов</t>
  </si>
  <si>
    <t>Бюджетная обеспе-ченность</t>
  </si>
  <si>
    <t>Потреб-ность в средствах для вырав-нивания</t>
  </si>
  <si>
    <t>Прогноз налоговых и неналоговых доходов поселений</t>
  </si>
  <si>
    <t>Расчетный объем дотации на вырав-нивание</t>
  </si>
  <si>
    <t>Индекс бюджетных расходов</t>
  </si>
  <si>
    <t>тыс. руб.</t>
  </si>
  <si>
    <t>в том числе:</t>
  </si>
  <si>
    <t>В насе-ленных пунктах с числен-ностью менее 500 чел.</t>
  </si>
  <si>
    <t>Тарифы на ЖКУ</t>
  </si>
  <si>
    <t>Коэффициенты</t>
  </si>
  <si>
    <t>Условные потребители</t>
  </si>
  <si>
    <t>Отраслевые индексы бюджетных расходов</t>
  </si>
  <si>
    <t>город-ское</t>
  </si>
  <si>
    <t>стоимость тепла за 1 Гкал в месяц, руб</t>
  </si>
  <si>
    <t>стоимость 1 куб.м воды в месяц, руб.</t>
  </si>
  <si>
    <t>Лимиты потребления тепла</t>
  </si>
  <si>
    <t>Затраты на тепло</t>
  </si>
  <si>
    <t>масштаба</t>
  </si>
  <si>
    <t>дисперс-ности расселе-ния</t>
  </si>
  <si>
    <t>уровня урбаниза-ции</t>
  </si>
  <si>
    <t>стоимо-сти комму-нальных услуг</t>
  </si>
  <si>
    <t>Местное самоупра-вление</t>
  </si>
  <si>
    <t>Коммунальное хозяйство</t>
  </si>
  <si>
    <t>Дорожное хозяйство</t>
  </si>
  <si>
    <t>Культура</t>
  </si>
  <si>
    <t>Прочие расходы</t>
  </si>
  <si>
    <t>Прогноз доходов всего (с учетом дотации на выравнивание)</t>
  </si>
  <si>
    <t>Разрыв</t>
  </si>
  <si>
    <t>Прогноз доходов поселений (налоговые, неналоговые, дотация за счет субвенций из областного бюжета)</t>
  </si>
  <si>
    <t>Прогноз расходов поселений</t>
  </si>
  <si>
    <t>Дотация бюджетам поселений за счет субвенций из областного бюджета</t>
  </si>
  <si>
    <t>Доходный потенциал поселений</t>
  </si>
  <si>
    <t>Доходный потенциал на 1 жителя</t>
  </si>
  <si>
    <t>Индекс доходного потенциала</t>
  </si>
  <si>
    <t>Б.Карабулакское МО</t>
  </si>
  <si>
    <t>Свободинское МО</t>
  </si>
  <si>
    <t>Алексеевское МО</t>
  </si>
  <si>
    <t>Большечечуйское МО</t>
  </si>
  <si>
    <t>Липовское МО</t>
  </si>
  <si>
    <t>Максимовское МО</t>
  </si>
  <si>
    <t>Старобурасское МО</t>
  </si>
  <si>
    <t>Старожуковское МО</t>
  </si>
  <si>
    <t>Шняевсое МО</t>
  </si>
  <si>
    <t>Яковлевское МО</t>
  </si>
  <si>
    <t>Прогноз налога на 2020 год в консолиди-рованный бюджет района</t>
  </si>
  <si>
    <t>Прогноз налога на 2020 год, 100%</t>
  </si>
  <si>
    <t>Прогноз налога на 2020 год в доле поселений</t>
  </si>
  <si>
    <t>Прогноз налога на 2021 год в консолиди-рованный бюджет района</t>
  </si>
  <si>
    <t>Прогноз налога на 2021 год, 100%</t>
  </si>
  <si>
    <t>Прогноз налога на 2021 год в доле поселений</t>
  </si>
  <si>
    <t>Прогноз налога на 2022 год в консолиди-рованный бюджет района</t>
  </si>
  <si>
    <t>Прогноз налога на 2022 год, 100%</t>
  </si>
  <si>
    <t>Прогноз налога на 2022 год в доле поселений</t>
  </si>
  <si>
    <t>Расчет индекса бюджетных расходов на 2024 год</t>
  </si>
  <si>
    <t>Расчет индекса налогового потенциала на 2025 год</t>
  </si>
  <si>
    <t>Расчет дотации на выравнивание на 2025 год</t>
  </si>
  <si>
    <t>Расчет дотации на выравнивание на 2026 год</t>
  </si>
  <si>
    <t>Расчет индекса налогового потенциала на 2026 год</t>
  </si>
  <si>
    <t>Расчет индекса бюджетных расходов на 2026 год</t>
  </si>
  <si>
    <t>Расчет индекса бюджетных расходов на 2025 год</t>
  </si>
  <si>
    <t>Расчет дотации на выравнивание на 2024год</t>
  </si>
  <si>
    <t>Расчет индекса налогового потенциала на 2024                                                                                                                                                                                                                                                                                                                                                                                                                                                                                         год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</si>
</sst>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_ ;[Red]\-#,##0\ "/>
    <numFmt numFmtId="174" formatCode="#,##0.0_ ;[Red]\-#,##0.0\ "/>
    <numFmt numFmtId="175" formatCode="0.000"/>
    <numFmt numFmtId="176" formatCode="#,##0.00_ ;[Red]\-#,##0.00\ "/>
    <numFmt numFmtId="177" formatCode="#,##0.0"/>
    <numFmt numFmtId="178" formatCode="0.0000"/>
    <numFmt numFmtId="179" formatCode="#,##0.000"/>
    <numFmt numFmtId="180" formatCode="0.000000"/>
    <numFmt numFmtId="181" formatCode="0.00000"/>
    <numFmt numFmtId="182" formatCode="#,##0.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%"/>
    <numFmt numFmtId="188" formatCode="#,##0.0000"/>
    <numFmt numFmtId="189" formatCode="#,##0.00000"/>
    <numFmt numFmtId="190" formatCode="0.000%"/>
    <numFmt numFmtId="191" formatCode="0.0000%"/>
    <numFmt numFmtId="192" formatCode="0.00000%"/>
    <numFmt numFmtId="193" formatCode="0.0000000"/>
    <numFmt numFmtId="194" formatCode="0.00000000"/>
    <numFmt numFmtId="195" formatCode="0.000000000"/>
    <numFmt numFmtId="196" formatCode="0.0000000000"/>
    <numFmt numFmtId="197" formatCode="##,###,###,###,###,###,###"/>
    <numFmt numFmtId="198" formatCode="0.0000E+00"/>
    <numFmt numFmtId="199" formatCode="0.00000E+00"/>
    <numFmt numFmtId="200" formatCode="0.000000E+00"/>
    <numFmt numFmtId="201" formatCode="0.0000000E+00"/>
    <numFmt numFmtId="202" formatCode="#,##0.0;[Red]#,##0.0"/>
    <numFmt numFmtId="203" formatCode="#,##0.0_);\(#,##0.0\)"/>
    <numFmt numFmtId="204" formatCode="[$-FC19]d\ mmmm\ yyyy\ &quot;г.&quot;"/>
    <numFmt numFmtId="205" formatCode="#,##0.000_ ;[Red]\-#,##0.000\ "/>
    <numFmt numFmtId="206" formatCode="#,##0.0000_ ;[Red]\-#,##0.0000\ "/>
    <numFmt numFmtId="207" formatCode="#,##0.00000_ ;[Red]\-#,##0.00000\ "/>
    <numFmt numFmtId="208" formatCode="#,##0.000000_ ;[Red]\-#,##0.000000\ "/>
    <numFmt numFmtId="209" formatCode="#,##0.0000000_ ;[Red]\-#,##0.0000000\ "/>
    <numFmt numFmtId="210" formatCode="#,##0.00000000_ ;[Red]\-#,##0.00000000\ "/>
    <numFmt numFmtId="211" formatCode="#,##0.000000000_ ;[Red]\-#,##0.000000000\ "/>
    <numFmt numFmtId="212" formatCode="#,##0.0000000000_ ;[Red]\-#,##0.0000000000\ "/>
    <numFmt numFmtId="213" formatCode="0.00000000000"/>
  </numFmts>
  <fonts count="47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57">
      <alignment/>
      <protection/>
    </xf>
    <xf numFmtId="0" fontId="6" fillId="0" borderId="0" xfId="55" applyFont="1" applyAlignment="1">
      <alignment wrapText="1"/>
      <protection/>
    </xf>
    <xf numFmtId="0" fontId="3" fillId="0" borderId="10" xfId="56" applyFill="1" applyBorder="1" applyAlignment="1">
      <alignment horizontal="center" vertical="top" wrapText="1"/>
      <protection/>
    </xf>
    <xf numFmtId="0" fontId="3" fillId="33" borderId="10" xfId="57" applyFill="1" applyBorder="1">
      <alignment/>
      <protection/>
    </xf>
    <xf numFmtId="0" fontId="3" fillId="33" borderId="0" xfId="57" applyFill="1">
      <alignment/>
      <protection/>
    </xf>
    <xf numFmtId="0" fontId="5" fillId="0" borderId="10" xfId="0" applyFont="1" applyFill="1" applyBorder="1" applyAlignment="1">
      <alignment/>
    </xf>
    <xf numFmtId="0" fontId="5" fillId="0" borderId="10" xfId="33" applyFont="1" applyFill="1" applyBorder="1">
      <alignment/>
      <protection/>
    </xf>
    <xf numFmtId="3" fontId="5" fillId="34" borderId="10" xfId="55" applyNumberFormat="1" applyFont="1" applyFill="1" applyBorder="1">
      <alignment/>
      <protection/>
    </xf>
    <xf numFmtId="177" fontId="5" fillId="34" borderId="10" xfId="33" applyNumberFormat="1" applyFont="1" applyFill="1" applyBorder="1">
      <alignment/>
      <protection/>
    </xf>
    <xf numFmtId="177" fontId="5" fillId="35" borderId="10" xfId="33" applyNumberFormat="1" applyFont="1" applyFill="1" applyBorder="1" applyAlignment="1">
      <alignment horizontal="center"/>
      <protection/>
    </xf>
    <xf numFmtId="177" fontId="5" fillId="0" borderId="10" xfId="33" applyNumberFormat="1" applyFont="1" applyFill="1" applyBorder="1">
      <alignment/>
      <protection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177" fontId="6" fillId="0" borderId="10" xfId="0" applyNumberFormat="1" applyFont="1" applyBorder="1" applyAlignment="1">
      <alignment/>
    </xf>
    <xf numFmtId="0" fontId="8" fillId="0" borderId="11" xfId="57" applyFont="1" applyBorder="1" applyAlignment="1">
      <alignment horizontal="center" vertical="center" wrapText="1"/>
      <protection/>
    </xf>
    <xf numFmtId="0" fontId="3" fillId="34" borderId="10" xfId="57" applyFill="1" applyBorder="1">
      <alignment/>
      <protection/>
    </xf>
    <xf numFmtId="177" fontId="5" fillId="0" borderId="10" xfId="55" applyNumberFormat="1" applyFont="1" applyFill="1" applyBorder="1">
      <alignment/>
      <protection/>
    </xf>
    <xf numFmtId="0" fontId="3" fillId="0" borderId="0" xfId="57" applyAlignment="1">
      <alignment horizontal="right"/>
      <protection/>
    </xf>
    <xf numFmtId="0" fontId="5" fillId="0" borderId="0" xfId="55" applyFont="1">
      <alignment/>
      <protection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12" xfId="57" applyFont="1" applyBorder="1" applyAlignment="1">
      <alignment horizontal="center" vertical="center" wrapText="1"/>
      <protection/>
    </xf>
    <xf numFmtId="0" fontId="8" fillId="36" borderId="10" xfId="57" applyFont="1" applyFill="1" applyBorder="1" applyAlignment="1">
      <alignment horizontal="center" vertical="center" wrapText="1"/>
      <protection/>
    </xf>
    <xf numFmtId="0" fontId="3" fillId="36" borderId="10" xfId="57" applyFill="1" applyBorder="1">
      <alignment/>
      <protection/>
    </xf>
    <xf numFmtId="10" fontId="3" fillId="34" borderId="10" xfId="62" applyNumberFormat="1" applyFont="1" applyFill="1" applyBorder="1" applyAlignment="1">
      <alignment/>
    </xf>
    <xf numFmtId="4" fontId="5" fillId="34" borderId="10" xfId="55" applyNumberFormat="1" applyFont="1" applyFill="1" applyBorder="1">
      <alignment/>
      <protection/>
    </xf>
    <xf numFmtId="3" fontId="5" fillId="36" borderId="10" xfId="55" applyNumberFormat="1" applyFont="1" applyFill="1" applyBorder="1">
      <alignment/>
      <protection/>
    </xf>
    <xf numFmtId="189" fontId="5" fillId="36" borderId="10" xfId="55" applyNumberFormat="1" applyFont="1" applyFill="1" applyBorder="1">
      <alignment/>
      <protection/>
    </xf>
    <xf numFmtId="179" fontId="5" fillId="0" borderId="10" xfId="55" applyNumberFormat="1" applyFont="1" applyFill="1" applyBorder="1">
      <alignment/>
      <protection/>
    </xf>
    <xf numFmtId="179" fontId="7" fillId="0" borderId="10" xfId="55" applyNumberFormat="1" applyFont="1" applyFill="1" applyBorder="1">
      <alignment/>
      <protection/>
    </xf>
    <xf numFmtId="3" fontId="8" fillId="0" borderId="10" xfId="57" applyNumberFormat="1" applyFont="1" applyFill="1" applyBorder="1">
      <alignment/>
      <protection/>
    </xf>
    <xf numFmtId="3" fontId="8" fillId="36" borderId="10" xfId="57" applyNumberFormat="1" applyFont="1" applyFill="1" applyBorder="1">
      <alignment/>
      <protection/>
    </xf>
    <xf numFmtId="4" fontId="8" fillId="36" borderId="10" xfId="57" applyNumberFormat="1" applyFont="1" applyFill="1" applyBorder="1">
      <alignment/>
      <protection/>
    </xf>
    <xf numFmtId="177" fontId="7" fillId="0" borderId="10" xfId="55" applyNumberFormat="1" applyFont="1" applyFill="1" applyBorder="1">
      <alignment/>
      <protection/>
    </xf>
    <xf numFmtId="177" fontId="7" fillId="0" borderId="0" xfId="55" applyNumberFormat="1" applyFont="1" applyFill="1" applyBorder="1">
      <alignment/>
      <protection/>
    </xf>
    <xf numFmtId="177" fontId="5" fillId="0" borderId="0" xfId="55" applyNumberFormat="1" applyFont="1" applyFill="1" applyBorder="1">
      <alignment/>
      <protection/>
    </xf>
    <xf numFmtId="179" fontId="5" fillId="0" borderId="10" xfId="33" applyNumberFormat="1" applyFont="1" applyFill="1" applyBorder="1">
      <alignment/>
      <protection/>
    </xf>
    <xf numFmtId="179" fontId="6" fillId="0" borderId="10" xfId="55" applyNumberFormat="1" applyFont="1" applyFill="1" applyBorder="1">
      <alignment/>
      <protection/>
    </xf>
    <xf numFmtId="179" fontId="6" fillId="0" borderId="10" xfId="33" applyNumberFormat="1" applyFont="1" applyFill="1" applyBorder="1">
      <alignment/>
      <protection/>
    </xf>
    <xf numFmtId="177" fontId="6" fillId="0" borderId="10" xfId="55" applyNumberFormat="1" applyFont="1" applyFill="1" applyBorder="1">
      <alignment/>
      <protection/>
    </xf>
    <xf numFmtId="177" fontId="3" fillId="0" borderId="10" xfId="57" applyNumberFormat="1" applyBorder="1">
      <alignment/>
      <protection/>
    </xf>
    <xf numFmtId="177" fontId="3" fillId="34" borderId="10" xfId="57" applyNumberFormat="1" applyFill="1" applyBorder="1">
      <alignment/>
      <protection/>
    </xf>
    <xf numFmtId="177" fontId="6" fillId="0" borderId="10" xfId="33" applyNumberFormat="1" applyFont="1" applyFill="1" applyBorder="1">
      <alignment/>
      <protection/>
    </xf>
    <xf numFmtId="3" fontId="6" fillId="0" borderId="10" xfId="0" applyNumberFormat="1" applyFont="1" applyBorder="1" applyAlignment="1">
      <alignment/>
    </xf>
    <xf numFmtId="177" fontId="3" fillId="0" borderId="0" xfId="57" applyNumberFormat="1">
      <alignment/>
      <protection/>
    </xf>
    <xf numFmtId="172" fontId="0" fillId="0" borderId="10" xfId="54" applyNumberFormat="1" applyBorder="1">
      <alignment/>
      <protection/>
    </xf>
    <xf numFmtId="0" fontId="3" fillId="0" borderId="10" xfId="56" applyFont="1" applyFill="1" applyBorder="1" applyAlignment="1">
      <alignment horizontal="center" vertical="top" wrapText="1"/>
      <protection/>
    </xf>
    <xf numFmtId="172" fontId="3" fillId="34" borderId="10" xfId="57" applyNumberFormat="1" applyFill="1" applyBorder="1">
      <alignment/>
      <protection/>
    </xf>
    <xf numFmtId="0" fontId="12" fillId="0" borderId="0" xfId="57" applyFont="1">
      <alignment/>
      <protection/>
    </xf>
    <xf numFmtId="3" fontId="5" fillId="0" borderId="10" xfId="55" applyNumberFormat="1" applyFont="1" applyFill="1" applyBorder="1">
      <alignment/>
      <protection/>
    </xf>
    <xf numFmtId="177" fontId="3" fillId="37" borderId="0" xfId="57" applyNumberFormat="1" applyFill="1">
      <alignment/>
      <protection/>
    </xf>
    <xf numFmtId="177" fontId="11" fillId="37" borderId="0" xfId="57" applyNumberFormat="1" applyFont="1" applyFill="1">
      <alignment/>
      <protection/>
    </xf>
    <xf numFmtId="0" fontId="11" fillId="37" borderId="0" xfId="57" applyFont="1" applyFill="1">
      <alignment/>
      <protection/>
    </xf>
    <xf numFmtId="177" fontId="5" fillId="0" borderId="10" xfId="33" applyNumberFormat="1" applyFont="1" applyFill="1" applyBorder="1">
      <alignment/>
      <protection/>
    </xf>
    <xf numFmtId="0" fontId="3" fillId="2" borderId="0" xfId="57" applyFill="1">
      <alignment/>
      <protection/>
    </xf>
    <xf numFmtId="177" fontId="5" fillId="35" borderId="10" xfId="33" applyNumberFormat="1" applyFont="1" applyFill="1" applyBorder="1" applyAlignment="1">
      <alignment horizontal="center"/>
      <protection/>
    </xf>
    <xf numFmtId="0" fontId="11" fillId="0" borderId="0" xfId="57" applyFont="1">
      <alignment/>
      <protection/>
    </xf>
    <xf numFmtId="177" fontId="5" fillId="34" borderId="10" xfId="33" applyNumberFormat="1" applyFont="1" applyFill="1" applyBorder="1">
      <alignment/>
      <protection/>
    </xf>
    <xf numFmtId="0" fontId="6" fillId="0" borderId="0" xfId="55" applyFont="1" applyAlignment="1">
      <alignment horizontal="center"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0" fontId="8" fillId="0" borderId="14" xfId="57" applyFont="1" applyBorder="1" applyAlignment="1">
      <alignment horizontal="center" vertical="center" wrapText="1"/>
      <protection/>
    </xf>
    <xf numFmtId="0" fontId="8" fillId="0" borderId="12" xfId="57" applyFont="1" applyBorder="1" applyAlignment="1">
      <alignment horizontal="center" vertical="center" wrapText="1"/>
      <protection/>
    </xf>
    <xf numFmtId="0" fontId="8" fillId="0" borderId="15" xfId="57" applyFont="1" applyBorder="1" applyAlignment="1">
      <alignment horizontal="center" vertical="center" wrapText="1"/>
      <protection/>
    </xf>
    <xf numFmtId="0" fontId="8" fillId="0" borderId="11" xfId="57" applyFont="1" applyBorder="1" applyAlignment="1">
      <alignment horizontal="center" vertical="center" wrapText="1"/>
      <protection/>
    </xf>
    <xf numFmtId="0" fontId="8" fillId="0" borderId="13" xfId="57" applyFont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56" applyFont="1" applyFill="1" applyBorder="1" applyAlignment="1">
      <alignment horizontal="center" vertical="center" wrapText="1"/>
      <protection/>
    </xf>
    <xf numFmtId="0" fontId="8" fillId="0" borderId="10" xfId="57" applyFont="1" applyFill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Regional Data for IGR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Местные бюджеты 2006 - расчет МБТ(2 чтение)" xfId="55"/>
    <cellStyle name="Обычный_налоговый потенциал_2009_2011" xfId="56"/>
    <cellStyle name="Обычный_Поселения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sk%20c\P\&#1053;&#1072;&#1083;&#1086;&#1075;&#1086;&#1074;&#1099;&#1081;%20&#1087;&#1086;&#1090;&#1077;&#1085;&#1094;&#1080;&#1072;&#1083;%202005\svp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app02\Sliv\Orsuf\&#1062;&#1060;&#1055;%20&#1072;&#1087;&#1088;&#1077;&#1083;&#1100;%202005\&#1053;&#1072;&#1096;&#1080;%20&#1076;&#1072;&#1085;&#1085;&#1099;&#1077;\2006\&#1052;&#1077;&#1089;&#1090;&#1085;&#1099;&#1077;%20&#1073;&#1102;&#1076;&#1078;&#1077;&#1090;&#1099;%202006%20-%20&#1088;&#1072;&#1089;&#1095;&#1077;&#1090;%20&#1052;&#1041;&#1058;(2%20&#1095;&#1090;&#1077;&#1085;&#1080;&#107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1"/>
      <sheetName val="НДФЛ"/>
      <sheetName val="НИФЛ"/>
      <sheetName val="ЕСХН"/>
      <sheetName val="ЗН"/>
      <sheetName val="sv"/>
      <sheetName val="np"/>
      <sheetName val="МР_ГО"/>
      <sheetName val="rr"/>
    </sheetNames>
    <sheetDataSet>
      <sheetData sheetId="9">
        <row r="3">
          <cell r="D3">
            <v>39</v>
          </cell>
        </row>
        <row r="5">
          <cell r="D5" t="str">
            <v>1 Александрово-Гайский</v>
          </cell>
          <cell r="E5">
            <v>7</v>
          </cell>
        </row>
        <row r="6">
          <cell r="D6" t="str">
            <v>2 Аркадакский</v>
          </cell>
          <cell r="E6">
            <v>7</v>
          </cell>
        </row>
        <row r="7">
          <cell r="D7" t="str">
            <v>3 Базарно-Карабулакский</v>
          </cell>
          <cell r="E7">
            <v>13</v>
          </cell>
        </row>
        <row r="8">
          <cell r="D8" t="str">
            <v>4 Балтайский</v>
          </cell>
          <cell r="E8">
            <v>4</v>
          </cell>
        </row>
        <row r="9">
          <cell r="D9" t="str">
            <v>5 Воскресенский</v>
          </cell>
          <cell r="E9">
            <v>3</v>
          </cell>
        </row>
        <row r="10">
          <cell r="D10" t="str">
            <v>6 Дергачевский</v>
          </cell>
          <cell r="E10">
            <v>13</v>
          </cell>
        </row>
        <row r="11">
          <cell r="D11" t="str">
            <v>7 Духовницкий</v>
          </cell>
          <cell r="E11">
            <v>7</v>
          </cell>
        </row>
        <row r="12">
          <cell r="D12" t="str">
            <v>8 Екатериновский</v>
          </cell>
          <cell r="E12">
            <v>14</v>
          </cell>
        </row>
        <row r="13">
          <cell r="D13" t="str">
            <v>9 Ершовский</v>
          </cell>
          <cell r="E13">
            <v>15</v>
          </cell>
        </row>
        <row r="14">
          <cell r="D14" t="str">
            <v>10 Ивантеевский</v>
          </cell>
          <cell r="E14">
            <v>9</v>
          </cell>
        </row>
        <row r="15">
          <cell r="D15" t="str">
            <v>11 Калининский</v>
          </cell>
          <cell r="E15">
            <v>13</v>
          </cell>
        </row>
        <row r="16">
          <cell r="D16" t="str">
            <v>12 Краснокутский</v>
          </cell>
          <cell r="E16">
            <v>13</v>
          </cell>
        </row>
        <row r="17">
          <cell r="D17" t="str">
            <v>13 Краснопартизанский</v>
          </cell>
          <cell r="E17">
            <v>8</v>
          </cell>
        </row>
        <row r="18">
          <cell r="D18" t="str">
            <v>14 Лысогорский</v>
          </cell>
          <cell r="E18">
            <v>11</v>
          </cell>
        </row>
        <row r="19">
          <cell r="D19" t="str">
            <v>15 Новобурасский</v>
          </cell>
          <cell r="E19">
            <v>8</v>
          </cell>
        </row>
        <row r="20">
          <cell r="D20" t="str">
            <v>16 Новоузенский </v>
          </cell>
          <cell r="E20">
            <v>12</v>
          </cell>
        </row>
        <row r="21">
          <cell r="D21" t="str">
            <v>17 Озинский</v>
          </cell>
          <cell r="E21">
            <v>11</v>
          </cell>
        </row>
        <row r="22">
          <cell r="D22" t="str">
            <v>18 Перелюбский</v>
          </cell>
          <cell r="E22">
            <v>12</v>
          </cell>
        </row>
        <row r="23">
          <cell r="D23" t="str">
            <v>19 Питерский</v>
          </cell>
          <cell r="E23">
            <v>8</v>
          </cell>
        </row>
        <row r="24">
          <cell r="D24" t="str">
            <v>20 Ровенский</v>
          </cell>
          <cell r="E24">
            <v>8</v>
          </cell>
        </row>
        <row r="25">
          <cell r="D25" t="str">
            <v>21 Романовский</v>
          </cell>
          <cell r="E25">
            <v>8</v>
          </cell>
        </row>
        <row r="26">
          <cell r="D26" t="str">
            <v>22 Самойловский</v>
          </cell>
          <cell r="E26">
            <v>8</v>
          </cell>
        </row>
        <row r="27">
          <cell r="D27" t="str">
            <v>23 Саратовский</v>
          </cell>
          <cell r="E27">
            <v>12</v>
          </cell>
        </row>
        <row r="28">
          <cell r="D28" t="str">
            <v>24 Советский</v>
          </cell>
          <cell r="E28">
            <v>9</v>
          </cell>
        </row>
        <row r="29">
          <cell r="D29" t="str">
            <v>25 Татищевский</v>
          </cell>
          <cell r="E29">
            <v>11</v>
          </cell>
        </row>
        <row r="30">
          <cell r="D30" t="str">
            <v>26 Турковский</v>
          </cell>
          <cell r="E30">
            <v>9</v>
          </cell>
        </row>
        <row r="31">
          <cell r="D31" t="str">
            <v>27 Федоровский</v>
          </cell>
          <cell r="E31">
            <v>15</v>
          </cell>
        </row>
        <row r="32">
          <cell r="D32" t="str">
            <v>28 г.Аткарск</v>
          </cell>
          <cell r="E32">
            <v>15</v>
          </cell>
        </row>
        <row r="33">
          <cell r="D33" t="str">
            <v>29 г.Балаково</v>
          </cell>
          <cell r="E33">
            <v>18</v>
          </cell>
        </row>
        <row r="34">
          <cell r="D34" t="str">
            <v>30 г.Балашов</v>
          </cell>
          <cell r="E34">
            <v>16</v>
          </cell>
        </row>
        <row r="35">
          <cell r="D35" t="str">
            <v>31 г.Вольск</v>
          </cell>
          <cell r="E35">
            <v>15</v>
          </cell>
        </row>
        <row r="36">
          <cell r="D36" t="str">
            <v>32 г.Красноармейск</v>
          </cell>
          <cell r="E36">
            <v>19</v>
          </cell>
        </row>
        <row r="37">
          <cell r="D37" t="str">
            <v>33 г.Маркс</v>
          </cell>
          <cell r="E37">
            <v>7</v>
          </cell>
        </row>
        <row r="38">
          <cell r="D38" t="str">
            <v>34 г.Петровск</v>
          </cell>
          <cell r="E38">
            <v>6</v>
          </cell>
        </row>
        <row r="39">
          <cell r="D39" t="str">
            <v>35 г.Пугачев</v>
          </cell>
          <cell r="E39">
            <v>10</v>
          </cell>
        </row>
        <row r="40">
          <cell r="D40" t="str">
            <v>36 г.Ртищево</v>
          </cell>
          <cell r="E40">
            <v>7</v>
          </cell>
        </row>
        <row r="41">
          <cell r="D41" t="str">
            <v>39 г.Саратов</v>
          </cell>
          <cell r="E41">
            <v>1</v>
          </cell>
        </row>
        <row r="42">
          <cell r="D42" t="str">
            <v>38 г.Хвалынск</v>
          </cell>
          <cell r="E42">
            <v>9</v>
          </cell>
        </row>
        <row r="43">
          <cell r="D43" t="str">
            <v>39 г.Энгельс</v>
          </cell>
          <cell r="E43">
            <v>7</v>
          </cell>
        </row>
        <row r="44">
          <cell r="D44" t="str">
            <v>40 п.Светлый</v>
          </cell>
          <cell r="E44">
            <v>1</v>
          </cell>
        </row>
        <row r="45">
          <cell r="D45" t="str">
            <v>41 г.Шиханы</v>
          </cell>
          <cell r="E45">
            <v>1</v>
          </cell>
        </row>
        <row r="46">
          <cell r="D46" t="str">
            <v>42 п.Михайловский</v>
          </cell>
          <cell r="E4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"/>
      <sheetName val="МР_П"/>
      <sheetName val="Закреп"/>
      <sheetName val="N_НДФЛ"/>
      <sheetName val="N_НДФЛ (ОТ)"/>
      <sheetName val="ОТ_КБМР"/>
      <sheetName val="ОТ_БМР"/>
      <sheetName val="ОТ_БП"/>
      <sheetName val="Отчет 2004"/>
      <sheetName val="Душа"/>
      <sheetName val="Р_отр"/>
      <sheetName val="ИБР"/>
      <sheetName val="МБТ"/>
      <sheetName val="МБТ_2"/>
      <sheetName val="ИНП_МР"/>
      <sheetName val="ИНП_П"/>
      <sheetName val="НП1"/>
      <sheetName val="НП2"/>
      <sheetName val="НП3"/>
      <sheetName val="Дпрог"/>
    </sheetNames>
    <sheetDataSet>
      <sheetData sheetId="1">
        <row r="3">
          <cell r="C3" t="str">
            <v>Числен-ность постоян-ного населения, чел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:E15"/>
    </sheetView>
  </sheetViews>
  <sheetFormatPr defaultColWidth="8.00390625" defaultRowHeight="12.75"/>
  <cols>
    <col min="1" max="1" width="3.25390625" style="1" customWidth="1"/>
    <col min="2" max="2" width="22.125" style="1" customWidth="1"/>
    <col min="3" max="5" width="8.75390625" style="19" customWidth="1"/>
    <col min="6" max="7" width="9.00390625" style="19" customWidth="1"/>
    <col min="8" max="10" width="8.75390625" style="19" hidden="1" customWidth="1"/>
    <col min="11" max="14" width="8.75390625" style="19" customWidth="1"/>
    <col min="15" max="15" width="9.875" style="19" customWidth="1"/>
    <col min="16" max="17" width="8.75390625" style="19" customWidth="1"/>
    <col min="18" max="18" width="9.625" style="19" customWidth="1"/>
    <col min="19" max="19" width="10.00390625" style="19" customWidth="1"/>
    <col min="20" max="25" width="8.75390625" style="19" customWidth="1"/>
    <col min="26" max="16384" width="8.00390625" style="1" customWidth="1"/>
  </cols>
  <sheetData>
    <row r="1" spans="2:25" ht="27" customHeight="1">
      <c r="B1" s="58" t="s">
        <v>67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11.25">
      <c r="Y2" s="1" t="s">
        <v>19</v>
      </c>
    </row>
    <row r="3" spans="1:25" ht="30.75" customHeight="1">
      <c r="A3" s="67" t="s">
        <v>0</v>
      </c>
      <c r="B3" s="67" t="s">
        <v>1</v>
      </c>
      <c r="C3" s="60" t="str">
        <f>'[2]МР_П'!C3</f>
        <v>Числен-ность постоян-ного населения, чел</v>
      </c>
      <c r="D3" s="20" t="s">
        <v>20</v>
      </c>
      <c r="E3" s="60" t="s">
        <v>21</v>
      </c>
      <c r="F3" s="59" t="s">
        <v>22</v>
      </c>
      <c r="G3" s="59"/>
      <c r="H3" s="21"/>
      <c r="I3" s="21"/>
      <c r="J3" s="21"/>
      <c r="K3" s="59" t="s">
        <v>23</v>
      </c>
      <c r="L3" s="59"/>
      <c r="M3" s="59"/>
      <c r="N3" s="59"/>
      <c r="O3" s="62" t="s">
        <v>24</v>
      </c>
      <c r="P3" s="63"/>
      <c r="Q3" s="63"/>
      <c r="R3" s="63"/>
      <c r="S3" s="64"/>
      <c r="T3" s="62" t="s">
        <v>25</v>
      </c>
      <c r="U3" s="63"/>
      <c r="V3" s="63"/>
      <c r="W3" s="63"/>
      <c r="X3" s="64"/>
      <c r="Y3" s="65" t="s">
        <v>13</v>
      </c>
    </row>
    <row r="4" spans="1:25" ht="56.25">
      <c r="A4" s="68"/>
      <c r="B4" s="68"/>
      <c r="C4" s="61"/>
      <c r="D4" s="20" t="s">
        <v>26</v>
      </c>
      <c r="E4" s="61"/>
      <c r="F4" s="20" t="s">
        <v>27</v>
      </c>
      <c r="G4" s="20" t="s">
        <v>28</v>
      </c>
      <c r="H4" s="22" t="s">
        <v>29</v>
      </c>
      <c r="I4" s="22" t="s">
        <v>30</v>
      </c>
      <c r="J4" s="22"/>
      <c r="K4" s="20" t="s">
        <v>31</v>
      </c>
      <c r="L4" s="20" t="s">
        <v>32</v>
      </c>
      <c r="M4" s="20" t="s">
        <v>33</v>
      </c>
      <c r="N4" s="20" t="s">
        <v>34</v>
      </c>
      <c r="O4" s="15" t="s">
        <v>35</v>
      </c>
      <c r="P4" s="15" t="s">
        <v>36</v>
      </c>
      <c r="Q4" s="15" t="s">
        <v>37</v>
      </c>
      <c r="R4" s="15" t="s">
        <v>38</v>
      </c>
      <c r="S4" s="15" t="s">
        <v>39</v>
      </c>
      <c r="T4" s="15" t="s">
        <v>35</v>
      </c>
      <c r="U4" s="15" t="s">
        <v>36</v>
      </c>
      <c r="V4" s="15" t="s">
        <v>37</v>
      </c>
      <c r="W4" s="15" t="s">
        <v>38</v>
      </c>
      <c r="X4" s="15" t="s">
        <v>39</v>
      </c>
      <c r="Y4" s="66"/>
    </row>
    <row r="5" spans="1:25" s="5" customFormat="1" ht="11.25">
      <c r="A5" s="4"/>
      <c r="B5" s="4"/>
      <c r="C5" s="4"/>
      <c r="D5" s="4"/>
      <c r="E5" s="4"/>
      <c r="F5" s="4"/>
      <c r="G5" s="4"/>
      <c r="H5" s="23"/>
      <c r="I5" s="23"/>
      <c r="J5" s="23"/>
      <c r="K5" s="4"/>
      <c r="L5" s="4"/>
      <c r="M5" s="4"/>
      <c r="N5" s="4"/>
      <c r="O5" s="4"/>
      <c r="P5" s="4"/>
      <c r="Q5" s="4"/>
      <c r="R5" s="4"/>
      <c r="S5" s="4"/>
      <c r="T5" s="24">
        <v>0.26</v>
      </c>
      <c r="U5" s="24">
        <v>0</v>
      </c>
      <c r="V5" s="24">
        <v>0</v>
      </c>
      <c r="W5" s="24">
        <v>0.35</v>
      </c>
      <c r="X5" s="24">
        <v>0.39</v>
      </c>
      <c r="Y5" s="4"/>
    </row>
    <row r="6" spans="1:25" ht="11.25">
      <c r="A6" s="6">
        <v>1</v>
      </c>
      <c r="B6" s="7" t="s">
        <v>48</v>
      </c>
      <c r="C6" s="49">
        <v>8903</v>
      </c>
      <c r="D6" s="8">
        <v>8903</v>
      </c>
      <c r="E6" s="8"/>
      <c r="F6" s="25">
        <v>2917.04</v>
      </c>
      <c r="G6" s="25">
        <v>55.73</v>
      </c>
      <c r="H6" s="26">
        <v>21467.3</v>
      </c>
      <c r="I6" s="26">
        <f aca="true" t="shared" si="0" ref="I6:I12">F6*H6</f>
        <v>62620972.791999996</v>
      </c>
      <c r="J6" s="27">
        <f>'ИБР 2024'!G6*'ИБР 2024'!H6/'ИБР 2024'!$H$16</f>
        <v>10.795735650023913</v>
      </c>
      <c r="K6" s="28">
        <f aca="true" t="shared" si="1" ref="K6:K15">IF(C6&lt;&gt;0,0.6+0.4*($C$16/COUNT($A$6:$A$15))/C6,0)</f>
        <v>0.714972481186117</v>
      </c>
      <c r="L6" s="28">
        <f>IF(C6&lt;&gt;0,1+E6/C6,0)</f>
        <v>1</v>
      </c>
      <c r="M6" s="28">
        <f>IF(C6&lt;&gt;0,1+D6/C6,0)</f>
        <v>2</v>
      </c>
      <c r="N6" s="28">
        <f aca="true" t="shared" si="2" ref="N6:N16">IF($G$16&lt;&gt;0,0.9+0.1*(0.8*F6/$F$16+0.2*G6/$G$16),0)</f>
        <v>1</v>
      </c>
      <c r="O6" s="17">
        <f aca="true" t="shared" si="3" ref="O6:O16">C6*K6</f>
        <v>6365.4</v>
      </c>
      <c r="P6" s="17">
        <f>C6*L6*M6</f>
        <v>17806</v>
      </c>
      <c r="Q6" s="17">
        <f aca="true" t="shared" si="4" ref="Q6:Q16">C6*M6</f>
        <v>17806</v>
      </c>
      <c r="R6" s="17">
        <f aca="true" t="shared" si="5" ref="R6:R16">C6*K6*N6</f>
        <v>6365.4</v>
      </c>
      <c r="S6" s="17">
        <f aca="true" t="shared" si="6" ref="S6:S16">C6*L6</f>
        <v>8903</v>
      </c>
      <c r="T6" s="28">
        <f aca="true" t="shared" si="7" ref="T6:T16">IF(C6&lt;&gt;0,(O6/$C6)/(O$16/$C$16),0)</f>
        <v>0.714972481186117</v>
      </c>
      <c r="U6" s="28">
        <f aca="true" t="shared" si="8" ref="U6:U16">IF(C6&lt;&gt;0,(P6/$C6)/(P$16/$C$16),0)</f>
        <v>1.1727879678127948</v>
      </c>
      <c r="V6" s="28">
        <f aca="true" t="shared" si="9" ref="V6:V16">IF(C6&lt;&gt;0,(Q6/$C6)/(Q$16/$C$16),0)</f>
        <v>1.4117452348771136</v>
      </c>
      <c r="W6" s="28">
        <f aca="true" t="shared" si="10" ref="W6:W16">IF(C6&lt;&gt;0,(R6/$C6)/(R$16/$C$16),0)</f>
        <v>0.714972481186117</v>
      </c>
      <c r="X6" s="28">
        <f aca="true" t="shared" si="11" ref="X6:X16">IF(C6&lt;&gt;0,(S6/$C6)/(S$16/$C$16),0)</f>
        <v>0.8307362680171406</v>
      </c>
      <c r="Y6" s="29">
        <f>IF(SUM($T$5:$X$5)=1,T6*$T$5+U6*$U$5+V6*$V$5+W6*$W$5+X6*$X$5,0)</f>
        <v>0.7601203580502163</v>
      </c>
    </row>
    <row r="7" spans="1:25" ht="11.25">
      <c r="A7" s="6">
        <v>2</v>
      </c>
      <c r="B7" s="7" t="s">
        <v>49</v>
      </c>
      <c r="C7" s="49">
        <v>4527</v>
      </c>
      <c r="D7" s="8">
        <v>1760</v>
      </c>
      <c r="E7" s="8">
        <v>1007</v>
      </c>
      <c r="F7" s="25">
        <v>2917.04</v>
      </c>
      <c r="G7" s="25">
        <v>55.73</v>
      </c>
      <c r="H7" s="26">
        <v>13753.5</v>
      </c>
      <c r="I7" s="26">
        <f t="shared" si="0"/>
        <v>40119509.64</v>
      </c>
      <c r="J7" s="27">
        <f>'ИБР 2024'!G7*'ИБР 2024'!H7/'ИБР 2024'!$H$16</f>
        <v>6.916526543282289</v>
      </c>
      <c r="K7" s="28">
        <f t="shared" si="1"/>
        <v>0.8261100066269053</v>
      </c>
      <c r="L7" s="28">
        <f aca="true" t="shared" si="12" ref="L7:L15">IF(C7&lt;&gt;0,1+E7/C7,0)</f>
        <v>1.2224431190633973</v>
      </c>
      <c r="M7" s="28">
        <f aca="true" t="shared" si="13" ref="M7:M15">IF(C7&lt;&gt;0,1+D7/C7,0)</f>
        <v>1.3887784404683012</v>
      </c>
      <c r="N7" s="28">
        <f t="shared" si="2"/>
        <v>1</v>
      </c>
      <c r="O7" s="17">
        <f t="shared" si="3"/>
        <v>3739.8</v>
      </c>
      <c r="P7" s="17">
        <f aca="true" t="shared" si="14" ref="P7:P16">C7*L7*M7</f>
        <v>7685.499889551579</v>
      </c>
      <c r="Q7" s="17">
        <f t="shared" si="4"/>
        <v>6287</v>
      </c>
      <c r="R7" s="17">
        <f t="shared" si="5"/>
        <v>3739.8</v>
      </c>
      <c r="S7" s="17">
        <f t="shared" si="6"/>
        <v>5534</v>
      </c>
      <c r="T7" s="28">
        <f t="shared" si="7"/>
        <v>0.8261100066269053</v>
      </c>
      <c r="U7" s="28">
        <f t="shared" si="8"/>
        <v>0.9955226195154248</v>
      </c>
      <c r="V7" s="28">
        <f t="shared" si="9"/>
        <v>0.9803006728155967</v>
      </c>
      <c r="W7" s="28">
        <f t="shared" si="10"/>
        <v>0.8261100066269053</v>
      </c>
      <c r="X7" s="28">
        <f t="shared" si="11"/>
        <v>1.0155278345939598</v>
      </c>
      <c r="Y7" s="29">
        <f aca="true" t="shared" si="15" ref="Y7:Y16">IF(SUM($T$5:$X$5)=1,T7*$T$5+U7*$U$5+V7*$V$5+W7*$W$5+X7*$X$5,0)</f>
        <v>0.8999829595340566</v>
      </c>
    </row>
    <row r="8" spans="1:25" ht="11.25">
      <c r="A8" s="6">
        <v>3</v>
      </c>
      <c r="B8" s="7" t="s">
        <v>50</v>
      </c>
      <c r="C8" s="49">
        <v>2444</v>
      </c>
      <c r="D8" s="8"/>
      <c r="E8" s="8">
        <v>65</v>
      </c>
      <c r="F8" s="25">
        <v>2917.04</v>
      </c>
      <c r="G8" s="25">
        <v>55.73</v>
      </c>
      <c r="H8" s="26">
        <v>16300</v>
      </c>
      <c r="I8" s="26">
        <f t="shared" si="0"/>
        <v>47547752</v>
      </c>
      <c r="J8" s="27">
        <f>'ИБР 2024'!G8*'ИБР 2024'!H8/'ИБР 2024'!$H$16</f>
        <v>8.197141284436784</v>
      </c>
      <c r="K8" s="28">
        <f t="shared" si="1"/>
        <v>1.018821603927987</v>
      </c>
      <c r="L8" s="28">
        <f t="shared" si="12"/>
        <v>1.0265957446808511</v>
      </c>
      <c r="M8" s="28">
        <f t="shared" si="13"/>
        <v>1</v>
      </c>
      <c r="N8" s="28">
        <f t="shared" si="2"/>
        <v>1</v>
      </c>
      <c r="O8" s="17">
        <f t="shared" si="3"/>
        <v>2490</v>
      </c>
      <c r="P8" s="17">
        <f t="shared" si="14"/>
        <v>2509</v>
      </c>
      <c r="Q8" s="17">
        <f t="shared" si="4"/>
        <v>2444</v>
      </c>
      <c r="R8" s="17">
        <f t="shared" si="5"/>
        <v>2490</v>
      </c>
      <c r="S8" s="17">
        <f t="shared" si="6"/>
        <v>2509</v>
      </c>
      <c r="T8" s="28">
        <f t="shared" si="7"/>
        <v>1.018821603927987</v>
      </c>
      <c r="U8" s="28">
        <f t="shared" si="8"/>
        <v>0.6019895685847592</v>
      </c>
      <c r="V8" s="28">
        <f t="shared" si="9"/>
        <v>0.7058726174385568</v>
      </c>
      <c r="W8" s="28">
        <f t="shared" si="10"/>
        <v>1.018821603927987</v>
      </c>
      <c r="X8" s="28">
        <f t="shared" si="11"/>
        <v>0.8528303176984475</v>
      </c>
      <c r="Y8" s="29">
        <f t="shared" si="15"/>
        <v>0.9540850022984666</v>
      </c>
    </row>
    <row r="9" spans="1:25" ht="11.25">
      <c r="A9" s="6">
        <v>4</v>
      </c>
      <c r="B9" s="7" t="s">
        <v>51</v>
      </c>
      <c r="C9" s="49">
        <v>689</v>
      </c>
      <c r="D9" s="8"/>
      <c r="E9" s="8">
        <v>689</v>
      </c>
      <c r="F9" s="25">
        <v>2917.04</v>
      </c>
      <c r="G9" s="25">
        <v>55.73</v>
      </c>
      <c r="H9" s="26"/>
      <c r="I9" s="26">
        <f t="shared" si="0"/>
        <v>0</v>
      </c>
      <c r="J9" s="27">
        <f>'ИБР 2024'!G9*'ИБР 2024'!H9/'ИБР 2024'!$H$16</f>
        <v>0</v>
      </c>
      <c r="K9" s="28">
        <f t="shared" si="1"/>
        <v>2.085631349782293</v>
      </c>
      <c r="L9" s="28">
        <f t="shared" si="12"/>
        <v>2</v>
      </c>
      <c r="M9" s="28">
        <f t="shared" si="13"/>
        <v>1</v>
      </c>
      <c r="N9" s="28">
        <f t="shared" si="2"/>
        <v>1</v>
      </c>
      <c r="O9" s="17">
        <f t="shared" si="3"/>
        <v>1437</v>
      </c>
      <c r="P9" s="17">
        <f t="shared" si="14"/>
        <v>1378</v>
      </c>
      <c r="Q9" s="17">
        <f t="shared" si="4"/>
        <v>689</v>
      </c>
      <c r="R9" s="17">
        <f t="shared" si="5"/>
        <v>1437</v>
      </c>
      <c r="S9" s="17">
        <f t="shared" si="6"/>
        <v>1378</v>
      </c>
      <c r="T9" s="28">
        <f t="shared" si="7"/>
        <v>2.085631349782293</v>
      </c>
      <c r="U9" s="28">
        <f t="shared" si="8"/>
        <v>1.1727879678127948</v>
      </c>
      <c r="V9" s="28">
        <f t="shared" si="9"/>
        <v>0.7058726174385568</v>
      </c>
      <c r="W9" s="28">
        <f t="shared" si="10"/>
        <v>2.085631349782293</v>
      </c>
      <c r="X9" s="28">
        <f t="shared" si="11"/>
        <v>1.6614725360342812</v>
      </c>
      <c r="Y9" s="29">
        <f t="shared" si="15"/>
        <v>1.9202094124205686</v>
      </c>
    </row>
    <row r="10" spans="1:25" ht="11.25">
      <c r="A10" s="6">
        <v>5</v>
      </c>
      <c r="B10" s="7" t="s">
        <v>52</v>
      </c>
      <c r="C10" s="49">
        <v>1914</v>
      </c>
      <c r="D10" s="8"/>
      <c r="E10" s="8">
        <v>1171</v>
      </c>
      <c r="F10" s="25">
        <v>2917.04</v>
      </c>
      <c r="G10" s="25">
        <v>55.73</v>
      </c>
      <c r="H10" s="26">
        <v>20636.3</v>
      </c>
      <c r="I10" s="26">
        <f t="shared" si="0"/>
        <v>60196912.55199999</v>
      </c>
      <c r="J10" s="27">
        <f>'ИБР 2024'!G10*'ИБР 2024'!H10/'ИБР 2024'!$H$16</f>
        <v>10.377832312148637</v>
      </c>
      <c r="K10" s="28">
        <f t="shared" si="1"/>
        <v>1.134796238244514</v>
      </c>
      <c r="L10" s="28">
        <f t="shared" si="12"/>
        <v>1.6118077324973876</v>
      </c>
      <c r="M10" s="28">
        <f t="shared" si="13"/>
        <v>1</v>
      </c>
      <c r="N10" s="28">
        <f t="shared" si="2"/>
        <v>1</v>
      </c>
      <c r="O10" s="17">
        <f t="shared" si="3"/>
        <v>2172</v>
      </c>
      <c r="P10" s="17">
        <f t="shared" si="14"/>
        <v>3085</v>
      </c>
      <c r="Q10" s="17">
        <f t="shared" si="4"/>
        <v>1914</v>
      </c>
      <c r="R10" s="17">
        <f t="shared" si="5"/>
        <v>2172</v>
      </c>
      <c r="S10" s="17">
        <f t="shared" si="6"/>
        <v>3085</v>
      </c>
      <c r="T10" s="28">
        <f t="shared" si="7"/>
        <v>1.134796238244514</v>
      </c>
      <c r="U10" s="28">
        <f t="shared" si="8"/>
        <v>0.9451543575502801</v>
      </c>
      <c r="V10" s="28">
        <f t="shared" si="9"/>
        <v>0.7058726174385568</v>
      </c>
      <c r="W10" s="28">
        <f t="shared" si="10"/>
        <v>1.134796238244514</v>
      </c>
      <c r="X10" s="28">
        <f t="shared" si="11"/>
        <v>1.3389871404560494</v>
      </c>
      <c r="Y10" s="29">
        <f t="shared" si="15"/>
        <v>1.214430690107013</v>
      </c>
    </row>
    <row r="11" spans="1:25" ht="11.25">
      <c r="A11" s="6">
        <v>6</v>
      </c>
      <c r="B11" s="7" t="s">
        <v>53</v>
      </c>
      <c r="C11" s="49">
        <v>1717</v>
      </c>
      <c r="D11" s="8"/>
      <c r="E11" s="8">
        <v>1041</v>
      </c>
      <c r="F11" s="25">
        <v>2917.04</v>
      </c>
      <c r="G11" s="25">
        <v>55.73</v>
      </c>
      <c r="H11" s="26">
        <v>5640</v>
      </c>
      <c r="I11" s="26">
        <f t="shared" si="0"/>
        <v>16452105.6</v>
      </c>
      <c r="J11" s="27">
        <f>'ИБР 2024'!G11*'ИБР 2024'!H11/'ИБР 2024'!$H$16</f>
        <v>2.836311462835795</v>
      </c>
      <c r="K11" s="28">
        <f t="shared" si="1"/>
        <v>1.196156086196855</v>
      </c>
      <c r="L11" s="28">
        <f t="shared" si="12"/>
        <v>1.6062900407687828</v>
      </c>
      <c r="M11" s="28">
        <f t="shared" si="13"/>
        <v>1</v>
      </c>
      <c r="N11" s="28">
        <f t="shared" si="2"/>
        <v>1</v>
      </c>
      <c r="O11" s="17">
        <f t="shared" si="3"/>
        <v>2053.8</v>
      </c>
      <c r="P11" s="17">
        <f t="shared" si="14"/>
        <v>2758</v>
      </c>
      <c r="Q11" s="17">
        <f t="shared" si="4"/>
        <v>1717</v>
      </c>
      <c r="R11" s="17">
        <f t="shared" si="5"/>
        <v>2053.8</v>
      </c>
      <c r="S11" s="17">
        <f t="shared" si="6"/>
        <v>2758</v>
      </c>
      <c r="T11" s="28">
        <f t="shared" si="7"/>
        <v>1.196156086196855</v>
      </c>
      <c r="U11" s="28">
        <f t="shared" si="8"/>
        <v>0.9419188163155762</v>
      </c>
      <c r="V11" s="28">
        <f t="shared" si="9"/>
        <v>0.7058726174385568</v>
      </c>
      <c r="W11" s="28">
        <f t="shared" si="10"/>
        <v>1.196156086196855</v>
      </c>
      <c r="X11" s="28">
        <f t="shared" si="11"/>
        <v>1.3344033938213593</v>
      </c>
      <c r="Y11" s="29">
        <f t="shared" si="15"/>
        <v>1.2500725361704115</v>
      </c>
    </row>
    <row r="12" spans="1:25" ht="11.25">
      <c r="A12" s="6">
        <v>7</v>
      </c>
      <c r="B12" s="7" t="s">
        <v>54</v>
      </c>
      <c r="C12" s="49">
        <v>843</v>
      </c>
      <c r="D12" s="8"/>
      <c r="E12" s="8">
        <v>130</v>
      </c>
      <c r="F12" s="25">
        <v>2917.04</v>
      </c>
      <c r="G12" s="25">
        <v>55.73</v>
      </c>
      <c r="H12" s="26">
        <v>6002.5</v>
      </c>
      <c r="I12" s="26">
        <f t="shared" si="0"/>
        <v>17509532.6</v>
      </c>
      <c r="J12" s="27">
        <f>'ИБР 2024'!G12*'ИБР 2024'!H12/'ИБР 2024'!$H$16</f>
        <v>3.018609850296429</v>
      </c>
      <c r="K12" s="28">
        <f t="shared" si="1"/>
        <v>1.81423487544484</v>
      </c>
      <c r="L12" s="28">
        <f t="shared" si="12"/>
        <v>1.1542111506524317</v>
      </c>
      <c r="M12" s="28">
        <f t="shared" si="13"/>
        <v>1</v>
      </c>
      <c r="N12" s="28">
        <f t="shared" si="2"/>
        <v>1</v>
      </c>
      <c r="O12" s="17">
        <f t="shared" si="3"/>
        <v>1529.4</v>
      </c>
      <c r="P12" s="17">
        <f t="shared" si="14"/>
        <v>973</v>
      </c>
      <c r="Q12" s="17">
        <f t="shared" si="4"/>
        <v>843</v>
      </c>
      <c r="R12" s="17">
        <f t="shared" si="5"/>
        <v>1529.4</v>
      </c>
      <c r="S12" s="17">
        <f t="shared" si="6"/>
        <v>973</v>
      </c>
      <c r="T12" s="28">
        <f t="shared" si="7"/>
        <v>1.8142348754448399</v>
      </c>
      <c r="U12" s="28">
        <f t="shared" si="8"/>
        <v>0.6768224749002666</v>
      </c>
      <c r="V12" s="28">
        <f t="shared" si="9"/>
        <v>0.7058726174385568</v>
      </c>
      <c r="W12" s="28">
        <f t="shared" si="10"/>
        <v>1.8142348754448399</v>
      </c>
      <c r="X12" s="28">
        <f t="shared" si="11"/>
        <v>0.9588450637967707</v>
      </c>
      <c r="Y12" s="29">
        <f t="shared" si="15"/>
        <v>1.480632848902093</v>
      </c>
    </row>
    <row r="13" spans="1:25" ht="11.25">
      <c r="A13" s="6">
        <v>8</v>
      </c>
      <c r="B13" s="7" t="s">
        <v>55</v>
      </c>
      <c r="C13" s="49">
        <v>1950</v>
      </c>
      <c r="D13" s="8"/>
      <c r="E13" s="8"/>
      <c r="F13" s="25">
        <v>2917.04</v>
      </c>
      <c r="G13" s="25">
        <v>55.73</v>
      </c>
      <c r="H13" s="26"/>
      <c r="I13" s="26"/>
      <c r="J13" s="27"/>
      <c r="K13" s="28">
        <f t="shared" si="1"/>
        <v>1.124923076923077</v>
      </c>
      <c r="L13" s="28">
        <f t="shared" si="12"/>
        <v>1</v>
      </c>
      <c r="M13" s="28">
        <f t="shared" si="13"/>
        <v>1</v>
      </c>
      <c r="N13" s="28">
        <f t="shared" si="2"/>
        <v>1</v>
      </c>
      <c r="O13" s="17">
        <f t="shared" si="3"/>
        <v>2193.6</v>
      </c>
      <c r="P13" s="17">
        <f t="shared" si="14"/>
        <v>1950</v>
      </c>
      <c r="Q13" s="17">
        <f t="shared" si="4"/>
        <v>1950</v>
      </c>
      <c r="R13" s="17">
        <f t="shared" si="5"/>
        <v>2193.6</v>
      </c>
      <c r="S13" s="17">
        <f t="shared" si="6"/>
        <v>1950</v>
      </c>
      <c r="T13" s="28">
        <f t="shared" si="7"/>
        <v>1.124923076923077</v>
      </c>
      <c r="U13" s="28">
        <f t="shared" si="8"/>
        <v>0.5863939839063974</v>
      </c>
      <c r="V13" s="28">
        <f t="shared" si="9"/>
        <v>0.7058726174385568</v>
      </c>
      <c r="W13" s="28">
        <f t="shared" si="10"/>
        <v>1.124923076923077</v>
      </c>
      <c r="X13" s="28">
        <f t="shared" si="11"/>
        <v>0.8307362680171406</v>
      </c>
      <c r="Y13" s="29">
        <f t="shared" si="15"/>
        <v>1.0101902214497618</v>
      </c>
    </row>
    <row r="14" spans="1:25" ht="11.25">
      <c r="A14" s="6">
        <v>9</v>
      </c>
      <c r="B14" s="7" t="s">
        <v>56</v>
      </c>
      <c r="C14" s="49">
        <v>678</v>
      </c>
      <c r="D14" s="8"/>
      <c r="E14" s="8">
        <v>678</v>
      </c>
      <c r="F14" s="25">
        <v>2917.04</v>
      </c>
      <c r="G14" s="25">
        <v>55.73</v>
      </c>
      <c r="H14" s="26">
        <v>14166.2</v>
      </c>
      <c r="I14" s="26">
        <f>F14*H14</f>
        <v>41323372.048</v>
      </c>
      <c r="J14" s="27">
        <f>'ИБР 2024'!G14*'ИБР 2024'!H14/'ИБР 2024'!$H$16</f>
        <v>7.124070114330575</v>
      </c>
      <c r="K14" s="28">
        <f t="shared" si="1"/>
        <v>2.1097345132743364</v>
      </c>
      <c r="L14" s="28">
        <f t="shared" si="12"/>
        <v>2</v>
      </c>
      <c r="M14" s="28">
        <f t="shared" si="13"/>
        <v>1</v>
      </c>
      <c r="N14" s="28">
        <f t="shared" si="2"/>
        <v>1</v>
      </c>
      <c r="O14" s="17">
        <f t="shared" si="3"/>
        <v>1430.4</v>
      </c>
      <c r="P14" s="17">
        <f t="shared" si="14"/>
        <v>1356</v>
      </c>
      <c r="Q14" s="17">
        <f t="shared" si="4"/>
        <v>678</v>
      </c>
      <c r="R14" s="17">
        <f t="shared" si="5"/>
        <v>1430.4</v>
      </c>
      <c r="S14" s="17">
        <f t="shared" si="6"/>
        <v>1356</v>
      </c>
      <c r="T14" s="28">
        <f t="shared" si="7"/>
        <v>2.1097345132743364</v>
      </c>
      <c r="U14" s="28">
        <f t="shared" si="8"/>
        <v>1.1727879678127948</v>
      </c>
      <c r="V14" s="28">
        <f t="shared" si="9"/>
        <v>0.7058726174385568</v>
      </c>
      <c r="W14" s="28">
        <f t="shared" si="10"/>
        <v>2.1097345132743364</v>
      </c>
      <c r="X14" s="28">
        <f t="shared" si="11"/>
        <v>1.6614725360342812</v>
      </c>
      <c r="Y14" s="29">
        <f t="shared" si="15"/>
        <v>1.934912342150715</v>
      </c>
    </row>
    <row r="15" spans="1:25" ht="11.25">
      <c r="A15" s="6">
        <v>10</v>
      </c>
      <c r="B15" s="7" t="s">
        <v>57</v>
      </c>
      <c r="C15" s="49">
        <v>1925</v>
      </c>
      <c r="D15" s="8"/>
      <c r="E15" s="8">
        <v>433</v>
      </c>
      <c r="F15" s="25">
        <v>2917.04</v>
      </c>
      <c r="G15" s="25">
        <v>55.73</v>
      </c>
      <c r="H15" s="26">
        <v>12853.2</v>
      </c>
      <c r="I15" s="26">
        <f>F15*H15</f>
        <v>37493298.528000005</v>
      </c>
      <c r="J15" s="27">
        <f>'ИБР 2024'!G15*'ИБР 2024'!H15/'ИБР 2024'!$H$16</f>
        <v>6.4637727826455755</v>
      </c>
      <c r="K15" s="28">
        <f t="shared" si="1"/>
        <v>1.1317402597402597</v>
      </c>
      <c r="L15" s="28">
        <f t="shared" si="12"/>
        <v>1.224935064935065</v>
      </c>
      <c r="M15" s="28">
        <f t="shared" si="13"/>
        <v>1</v>
      </c>
      <c r="N15" s="28">
        <f t="shared" si="2"/>
        <v>1</v>
      </c>
      <c r="O15" s="17">
        <f t="shared" si="3"/>
        <v>2178.6</v>
      </c>
      <c r="P15" s="17">
        <f t="shared" si="14"/>
        <v>2358</v>
      </c>
      <c r="Q15" s="17">
        <f t="shared" si="4"/>
        <v>1925</v>
      </c>
      <c r="R15" s="17">
        <f t="shared" si="5"/>
        <v>2178.6</v>
      </c>
      <c r="S15" s="17">
        <f t="shared" si="6"/>
        <v>2358</v>
      </c>
      <c r="T15" s="28">
        <f t="shared" si="7"/>
        <v>1.1317402597402597</v>
      </c>
      <c r="U15" s="28">
        <f t="shared" si="8"/>
        <v>0.7182945527539144</v>
      </c>
      <c r="V15" s="28">
        <f t="shared" si="9"/>
        <v>0.7058726174385568</v>
      </c>
      <c r="W15" s="28">
        <f t="shared" si="10"/>
        <v>1.1317402597402597</v>
      </c>
      <c r="X15" s="28">
        <f t="shared" si="11"/>
        <v>1.0175979844074896</v>
      </c>
      <c r="Y15" s="29">
        <f t="shared" si="15"/>
        <v>1.0872247723604793</v>
      </c>
    </row>
    <row r="16" spans="1:25" ht="12.75">
      <c r="A16" s="12"/>
      <c r="B16" s="13" t="s">
        <v>11</v>
      </c>
      <c r="C16" s="13">
        <f>SUM(C6:C15)</f>
        <v>25590</v>
      </c>
      <c r="D16" s="30">
        <f>SUM(D6:D15)</f>
        <v>10663</v>
      </c>
      <c r="E16" s="30">
        <f>SUM(E6:E15)</f>
        <v>5214</v>
      </c>
      <c r="F16" s="25">
        <v>2917.04</v>
      </c>
      <c r="G16" s="25">
        <v>55.73</v>
      </c>
      <c r="H16" s="31">
        <f>SUM(H6:H15)</f>
        <v>110819</v>
      </c>
      <c r="I16" s="31">
        <f>SUM(I6:I15)</f>
        <v>323263455.75999993</v>
      </c>
      <c r="J16" s="32">
        <f>SUM(J6:J15)</f>
        <v>55.730000000000004</v>
      </c>
      <c r="K16" s="29">
        <f>IF(C16&lt;&gt;0,0.6+0.4*($C$16/COUNT($A$6:$A$15))/(C16/COUNT($A$6:$A$15)),0)</f>
        <v>1</v>
      </c>
      <c r="L16" s="29">
        <f>IF(C16&lt;&gt;0,1+E16/C16,0)</f>
        <v>1.2037514654161783</v>
      </c>
      <c r="M16" s="29">
        <f>IF(C16&lt;&gt;0,1+D16/C16,0)</f>
        <v>1.4166862055490426</v>
      </c>
      <c r="N16" s="29">
        <f t="shared" si="2"/>
        <v>1</v>
      </c>
      <c r="O16" s="33">
        <f t="shared" si="3"/>
        <v>25590</v>
      </c>
      <c r="P16" s="33">
        <f t="shared" si="14"/>
        <v>43639.60187573271</v>
      </c>
      <c r="Q16" s="33">
        <f t="shared" si="4"/>
        <v>36253</v>
      </c>
      <c r="R16" s="33">
        <f t="shared" si="5"/>
        <v>25590</v>
      </c>
      <c r="S16" s="33">
        <f t="shared" si="6"/>
        <v>30804.000000000004</v>
      </c>
      <c r="T16" s="29">
        <f t="shared" si="7"/>
        <v>1</v>
      </c>
      <c r="U16" s="29">
        <f t="shared" si="8"/>
        <v>1</v>
      </c>
      <c r="V16" s="29">
        <f t="shared" si="9"/>
        <v>1</v>
      </c>
      <c r="W16" s="29">
        <f t="shared" si="10"/>
        <v>1</v>
      </c>
      <c r="X16" s="29">
        <f t="shared" si="11"/>
        <v>1</v>
      </c>
      <c r="Y16" s="29">
        <f t="shared" si="15"/>
        <v>1</v>
      </c>
    </row>
    <row r="17" spans="3:25" ht="11.2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3:25" ht="11.25"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3:25" ht="11.25"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</row>
  </sheetData>
  <sheetProtection/>
  <mergeCells count="10">
    <mergeCell ref="A3:A4"/>
    <mergeCell ref="C3:C4"/>
    <mergeCell ref="B3:B4"/>
    <mergeCell ref="B1:N1"/>
    <mergeCell ref="F3:G3"/>
    <mergeCell ref="E3:E4"/>
    <mergeCell ref="O3:S3"/>
    <mergeCell ref="T3:X3"/>
    <mergeCell ref="Y3:Y4"/>
    <mergeCell ref="K3:N3"/>
  </mergeCells>
  <printOptions horizontalCentered="1" verticalCentered="1"/>
  <pageMargins left="0.31496062992125984" right="0.1968503937007874" top="0.1968503937007874" bottom="0.1968503937007874" header="0.15748031496062992" footer="0.15748031496062992"/>
  <pageSetup fitToHeight="1" fitToWidth="1" horizontalDpi="300" verticalDpi="300" orientation="landscape" paperSize="9" scale="63" r:id="rId1"/>
  <colBreaks count="1" manualBreakCount="1">
    <brk id="14" max="4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zoomScaleSheetLayoutView="100" zoomScalePageLayoutView="0" workbookViewId="0" topLeftCell="A1">
      <pane xSplit="2" ySplit="5" topLeftCell="I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28" sqref="U28"/>
    </sheetView>
  </sheetViews>
  <sheetFormatPr defaultColWidth="8.00390625" defaultRowHeight="12.75"/>
  <cols>
    <col min="1" max="1" width="3.25390625" style="1" customWidth="1"/>
    <col min="2" max="2" width="22.125" style="1" customWidth="1"/>
    <col min="3" max="3" width="10.875" style="1" customWidth="1"/>
    <col min="4" max="24" width="12.00390625" style="1" customWidth="1"/>
    <col min="25" max="16384" width="8.00390625" style="1" customWidth="1"/>
  </cols>
  <sheetData>
    <row r="1" spans="3:24" ht="27" customHeight="1">
      <c r="C1" s="58" t="s">
        <v>75</v>
      </c>
      <c r="D1" s="58"/>
      <c r="E1" s="58"/>
      <c r="F1" s="58"/>
      <c r="G1" s="58"/>
      <c r="H1" s="58"/>
      <c r="I1" s="58"/>
      <c r="J1" s="58"/>
      <c r="K1" s="58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3" spans="1:24" ht="30.75" customHeight="1">
      <c r="A3" s="69" t="s">
        <v>0</v>
      </c>
      <c r="B3" s="69" t="s">
        <v>1</v>
      </c>
      <c r="C3" s="71" t="s">
        <v>2</v>
      </c>
      <c r="D3" s="69" t="s">
        <v>3</v>
      </c>
      <c r="E3" s="69"/>
      <c r="F3" s="69"/>
      <c r="G3" s="69"/>
      <c r="H3" s="69" t="s">
        <v>4</v>
      </c>
      <c r="I3" s="69"/>
      <c r="J3" s="69"/>
      <c r="K3" s="69"/>
      <c r="L3" s="69" t="s">
        <v>5</v>
      </c>
      <c r="M3" s="69"/>
      <c r="N3" s="69"/>
      <c r="O3" s="69"/>
      <c r="P3" s="69" t="s">
        <v>6</v>
      </c>
      <c r="Q3" s="69"/>
      <c r="R3" s="69"/>
      <c r="S3" s="69"/>
      <c r="T3" s="70" t="s">
        <v>7</v>
      </c>
      <c r="U3" s="70" t="s">
        <v>44</v>
      </c>
      <c r="V3" s="70" t="s">
        <v>45</v>
      </c>
      <c r="W3" s="70" t="s">
        <v>46</v>
      </c>
      <c r="X3" s="70" t="s">
        <v>47</v>
      </c>
    </row>
    <row r="4" spans="1:24" ht="90" customHeight="1">
      <c r="A4" s="69"/>
      <c r="B4" s="69"/>
      <c r="C4" s="71"/>
      <c r="D4" s="3" t="s">
        <v>8</v>
      </c>
      <c r="E4" s="46" t="s">
        <v>58</v>
      </c>
      <c r="F4" s="3" t="s">
        <v>9</v>
      </c>
      <c r="G4" s="3" t="str">
        <f>"Налоговый потенциал по репрезента-тивной налоговой ставке  "&amp;FIXED(F16,6)&amp;", контингент"</f>
        <v>Налоговый потенциал по репрезента-тивной налоговой ставке  0,130000, контингент</v>
      </c>
      <c r="H4" s="3" t="s">
        <v>12</v>
      </c>
      <c r="I4" s="46" t="s">
        <v>59</v>
      </c>
      <c r="J4" s="3" t="s">
        <v>9</v>
      </c>
      <c r="K4" s="3" t="str">
        <f>"Налоговый потенциал по репрезента-тивной налоговой ставке  "&amp;FIXED(J16,6)&amp;", контингент"</f>
        <v>Налоговый потенциал по репрезента-тивной налоговой ставке  0,003000, контингент</v>
      </c>
      <c r="L4" s="3" t="s">
        <v>12</v>
      </c>
      <c r="M4" s="46" t="s">
        <v>59</v>
      </c>
      <c r="N4" s="3" t="s">
        <v>9</v>
      </c>
      <c r="O4" s="3" t="str">
        <f>"Налоговый потенциал по репрезента-тивной налоговой ставке  "&amp;FIXED(N16,6)&amp;", контингент"</f>
        <v>Налоговый потенциал по репрезента-тивной налоговой ставке  0,003000, контингент</v>
      </c>
      <c r="P4" s="3" t="s">
        <v>12</v>
      </c>
      <c r="Q4" s="46" t="s">
        <v>60</v>
      </c>
      <c r="R4" s="3" t="s">
        <v>9</v>
      </c>
      <c r="S4" s="3" t="str">
        <f>"Налоговый потенциал по репрезента-тивной налоговой ставке  "&amp;FIXED(R16,6)&amp;", контингент"</f>
        <v>Налоговый потенциал по репрезента-тивной налоговой ставке  0,030193, контингент</v>
      </c>
      <c r="T4" s="70"/>
      <c r="U4" s="70"/>
      <c r="V4" s="70"/>
      <c r="W4" s="70"/>
      <c r="X4" s="70"/>
    </row>
    <row r="5" spans="1:24" s="5" customFormat="1" ht="11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2.75">
      <c r="A6" s="6">
        <v>1</v>
      </c>
      <c r="B6" s="7" t="s">
        <v>48</v>
      </c>
      <c r="C6" s="49">
        <v>8903</v>
      </c>
      <c r="D6" s="57">
        <v>1313528</v>
      </c>
      <c r="E6" s="9"/>
      <c r="F6" s="55" t="s">
        <v>10</v>
      </c>
      <c r="G6" s="53">
        <f aca="true" t="shared" si="0" ref="G6:G15">D6*$F$16*0.1</f>
        <v>17075.86420716725</v>
      </c>
      <c r="H6" s="57">
        <v>2395333.3</v>
      </c>
      <c r="I6" s="57">
        <v>7186</v>
      </c>
      <c r="J6" s="10" t="s">
        <v>10</v>
      </c>
      <c r="K6" s="11">
        <f aca="true" t="shared" si="1" ref="K6:K15">H6*$J$16</f>
        <v>7186.000530552057</v>
      </c>
      <c r="L6" s="57">
        <v>1469133.3</v>
      </c>
      <c r="M6" s="57">
        <v>4407.4</v>
      </c>
      <c r="N6" s="10" t="s">
        <v>10</v>
      </c>
      <c r="O6" s="11">
        <f aca="true" t="shared" si="2" ref="O6:O15">L6*$N$16</f>
        <v>4407.400105377452</v>
      </c>
      <c r="P6" s="57">
        <v>33000</v>
      </c>
      <c r="Q6" s="57">
        <v>990</v>
      </c>
      <c r="R6" s="10" t="s">
        <v>10</v>
      </c>
      <c r="S6" s="11">
        <f aca="true" t="shared" si="3" ref="S6:S15">P6*$R$16</f>
        <v>996.3842814665933</v>
      </c>
      <c r="T6" s="11">
        <f aca="true" t="shared" si="4" ref="T6:T16">S6+O6+K6+G6</f>
        <v>29665.64912456335</v>
      </c>
      <c r="U6" s="45">
        <v>562.6</v>
      </c>
      <c r="V6" s="11">
        <f>T6+U6</f>
        <v>30228.24912456335</v>
      </c>
      <c r="W6" s="11">
        <f>IF(C6&lt;&gt;0,V6/C6,0)</f>
        <v>3.395288006802578</v>
      </c>
      <c r="X6" s="36">
        <f aca="true" t="shared" si="5" ref="X6:X16">IF($W$16&lt;&gt;0,W6/$W$16,0)</f>
        <v>1.1424114856481409</v>
      </c>
    </row>
    <row r="7" spans="1:24" ht="12.75">
      <c r="A7" s="6">
        <v>2</v>
      </c>
      <c r="B7" s="7" t="s">
        <v>49</v>
      </c>
      <c r="C7" s="49">
        <v>4527</v>
      </c>
      <c r="D7" s="57">
        <v>399589</v>
      </c>
      <c r="E7" s="9"/>
      <c r="F7" s="55" t="s">
        <v>10</v>
      </c>
      <c r="G7" s="53">
        <f t="shared" si="0"/>
        <v>5194.657063022451</v>
      </c>
      <c r="H7" s="57">
        <v>145333.3</v>
      </c>
      <c r="I7" s="57">
        <v>436</v>
      </c>
      <c r="J7" s="10" t="s">
        <v>10</v>
      </c>
      <c r="K7" s="11">
        <f t="shared" si="1"/>
        <v>435.9999382578121</v>
      </c>
      <c r="L7" s="57">
        <v>540533.3</v>
      </c>
      <c r="M7" s="57">
        <v>1621.6</v>
      </c>
      <c r="N7" s="10" t="s">
        <v>10</v>
      </c>
      <c r="O7" s="11">
        <f t="shared" si="2"/>
        <v>1621.5999755638388</v>
      </c>
      <c r="P7" s="57">
        <v>43666.7</v>
      </c>
      <c r="Q7" s="57">
        <v>1310</v>
      </c>
      <c r="R7" s="10" t="s">
        <v>10</v>
      </c>
      <c r="S7" s="11">
        <f t="shared" si="3"/>
        <v>1318.4488940459785</v>
      </c>
      <c r="T7" s="11">
        <f t="shared" si="4"/>
        <v>8570.70587089008</v>
      </c>
      <c r="U7" s="45">
        <v>286</v>
      </c>
      <c r="V7" s="11">
        <f aca="true" t="shared" si="6" ref="V7:V15">T7+U7</f>
        <v>8856.70587089008</v>
      </c>
      <c r="W7" s="11">
        <f aca="true" t="shared" si="7" ref="W7:W16">IF(C7&lt;&gt;0,V7/C7,0)</f>
        <v>1.9564183500972123</v>
      </c>
      <c r="X7" s="36">
        <f t="shared" si="5"/>
        <v>0.6582754657059638</v>
      </c>
    </row>
    <row r="8" spans="1:24" ht="12.75">
      <c r="A8" s="6">
        <v>3</v>
      </c>
      <c r="B8" s="7" t="s">
        <v>50</v>
      </c>
      <c r="C8" s="49">
        <v>2444</v>
      </c>
      <c r="D8" s="57">
        <v>348874</v>
      </c>
      <c r="E8" s="9"/>
      <c r="F8" s="55" t="s">
        <v>10</v>
      </c>
      <c r="G8" s="53">
        <f t="shared" si="0"/>
        <v>4535.362055023774</v>
      </c>
      <c r="H8" s="57">
        <v>448333.3</v>
      </c>
      <c r="I8" s="57">
        <v>1345</v>
      </c>
      <c r="J8" s="10" t="s">
        <v>10</v>
      </c>
      <c r="K8" s="11">
        <f t="shared" si="1"/>
        <v>1345.0000180201039</v>
      </c>
      <c r="L8" s="57">
        <v>935900</v>
      </c>
      <c r="M8" s="57">
        <v>2807.7</v>
      </c>
      <c r="N8" s="10" t="s">
        <v>10</v>
      </c>
      <c r="O8" s="11">
        <f t="shared" si="2"/>
        <v>2807.7001308341164</v>
      </c>
      <c r="P8" s="57">
        <v>53393.3</v>
      </c>
      <c r="Q8" s="57">
        <v>1601.8</v>
      </c>
      <c r="R8" s="10" t="s">
        <v>10</v>
      </c>
      <c r="S8" s="11">
        <f t="shared" si="3"/>
        <v>1612.1286319887959</v>
      </c>
      <c r="T8" s="11">
        <f t="shared" si="4"/>
        <v>10300.19083586679</v>
      </c>
      <c r="U8" s="45">
        <v>154.4</v>
      </c>
      <c r="V8" s="11">
        <f t="shared" si="6"/>
        <v>10454.59083586679</v>
      </c>
      <c r="W8" s="11">
        <f t="shared" si="7"/>
        <v>4.277655824822745</v>
      </c>
      <c r="X8" s="36">
        <f t="shared" si="5"/>
        <v>1.439301507305482</v>
      </c>
    </row>
    <row r="9" spans="1:24" ht="12.75">
      <c r="A9" s="6">
        <v>4</v>
      </c>
      <c r="B9" s="7" t="s">
        <v>51</v>
      </c>
      <c r="C9" s="49">
        <v>689</v>
      </c>
      <c r="D9" s="57">
        <v>45986</v>
      </c>
      <c r="E9" s="9"/>
      <c r="F9" s="55" t="s">
        <v>10</v>
      </c>
      <c r="G9" s="53">
        <f t="shared" si="0"/>
        <v>597.8180072528284</v>
      </c>
      <c r="H9" s="57">
        <v>394000</v>
      </c>
      <c r="I9" s="57">
        <v>1182</v>
      </c>
      <c r="J9" s="10" t="s">
        <v>10</v>
      </c>
      <c r="K9" s="11">
        <f t="shared" si="1"/>
        <v>1182.0001037173035</v>
      </c>
      <c r="L9" s="57">
        <v>1040933.3</v>
      </c>
      <c r="M9" s="57">
        <v>3122.8</v>
      </c>
      <c r="N9" s="10" t="s">
        <v>10</v>
      </c>
      <c r="O9" s="11">
        <f t="shared" si="2"/>
        <v>3122.800045517244</v>
      </c>
      <c r="P9" s="57">
        <v>42333.3</v>
      </c>
      <c r="Q9" s="57">
        <v>1270</v>
      </c>
      <c r="R9" s="10" t="s">
        <v>10</v>
      </c>
      <c r="S9" s="11">
        <f t="shared" si="3"/>
        <v>1278.1889303821133</v>
      </c>
      <c r="T9" s="11">
        <f t="shared" si="4"/>
        <v>6180.8070868694895</v>
      </c>
      <c r="U9" s="45">
        <v>43.5</v>
      </c>
      <c r="V9" s="11">
        <f t="shared" si="6"/>
        <v>6224.3070868694895</v>
      </c>
      <c r="W9" s="11">
        <f t="shared" si="7"/>
        <v>9.033827412002163</v>
      </c>
      <c r="X9" s="36">
        <f t="shared" si="5"/>
        <v>3.0396090623702947</v>
      </c>
    </row>
    <row r="10" spans="1:24" ht="12.75">
      <c r="A10" s="6">
        <v>5</v>
      </c>
      <c r="B10" s="7" t="s">
        <v>52</v>
      </c>
      <c r="C10" s="49">
        <v>1914</v>
      </c>
      <c r="D10" s="57">
        <v>70114</v>
      </c>
      <c r="E10" s="9"/>
      <c r="F10" s="55" t="s">
        <v>10</v>
      </c>
      <c r="G10" s="53">
        <f t="shared" si="0"/>
        <v>911.4820110582527</v>
      </c>
      <c r="H10" s="57">
        <v>64333.3</v>
      </c>
      <c r="I10" s="57">
        <v>193</v>
      </c>
      <c r="J10" s="10" t="s">
        <v>10</v>
      </c>
      <c r="K10" s="11">
        <f t="shared" si="1"/>
        <v>192.99991693521932</v>
      </c>
      <c r="L10" s="57">
        <v>277733.3</v>
      </c>
      <c r="M10" s="57">
        <v>833.2</v>
      </c>
      <c r="N10" s="10" t="s">
        <v>10</v>
      </c>
      <c r="O10" s="11">
        <f t="shared" si="2"/>
        <v>833.1999388257195</v>
      </c>
      <c r="P10" s="57">
        <v>5200</v>
      </c>
      <c r="Q10" s="57">
        <v>156</v>
      </c>
      <c r="R10" s="10" t="s">
        <v>10</v>
      </c>
      <c r="S10" s="11">
        <f t="shared" si="3"/>
        <v>157.00600798867532</v>
      </c>
      <c r="T10" s="11">
        <f t="shared" si="4"/>
        <v>2094.687874807867</v>
      </c>
      <c r="U10" s="45">
        <v>120.9</v>
      </c>
      <c r="V10" s="11">
        <f t="shared" si="6"/>
        <v>2215.587874807867</v>
      </c>
      <c r="W10" s="11">
        <f t="shared" si="7"/>
        <v>1.1575694225746431</v>
      </c>
      <c r="X10" s="36">
        <f t="shared" si="5"/>
        <v>0.3894870188139689</v>
      </c>
    </row>
    <row r="11" spans="1:24" ht="12.75">
      <c r="A11" s="6">
        <v>6</v>
      </c>
      <c r="B11" s="7" t="s">
        <v>53</v>
      </c>
      <c r="C11" s="49">
        <v>1717</v>
      </c>
      <c r="D11" s="57">
        <v>171169.2</v>
      </c>
      <c r="E11" s="9"/>
      <c r="F11" s="55" t="s">
        <v>10</v>
      </c>
      <c r="G11" s="53">
        <f t="shared" si="0"/>
        <v>2225.1996269964957</v>
      </c>
      <c r="H11" s="57">
        <v>156666.6</v>
      </c>
      <c r="I11" s="57">
        <v>470</v>
      </c>
      <c r="J11" s="10" t="s">
        <v>10</v>
      </c>
      <c r="K11" s="11">
        <f t="shared" si="1"/>
        <v>469.99984124121147</v>
      </c>
      <c r="L11" s="57">
        <v>781566.6</v>
      </c>
      <c r="M11" s="57">
        <v>2344.7</v>
      </c>
      <c r="N11" s="10" t="s">
        <v>10</v>
      </c>
      <c r="O11" s="11">
        <f t="shared" si="2"/>
        <v>2344.6999092590827</v>
      </c>
      <c r="P11" s="57">
        <v>108333.3</v>
      </c>
      <c r="Q11" s="57">
        <v>3250</v>
      </c>
      <c r="R11" s="10" t="s">
        <v>10</v>
      </c>
      <c r="S11" s="11">
        <f t="shared" si="3"/>
        <v>3270.9574933153</v>
      </c>
      <c r="T11" s="11">
        <f t="shared" si="4"/>
        <v>8310.856870812091</v>
      </c>
      <c r="U11" s="45">
        <v>108.5</v>
      </c>
      <c r="V11" s="11">
        <f t="shared" si="6"/>
        <v>8419.356870812091</v>
      </c>
      <c r="W11" s="11">
        <f t="shared" si="7"/>
        <v>4.903527589290676</v>
      </c>
      <c r="X11" s="36">
        <f t="shared" si="5"/>
        <v>1.649888382656998</v>
      </c>
    </row>
    <row r="12" spans="1:24" ht="12.75">
      <c r="A12" s="6">
        <v>7</v>
      </c>
      <c r="B12" s="7" t="s">
        <v>54</v>
      </c>
      <c r="C12" s="49">
        <v>843</v>
      </c>
      <c r="D12" s="57">
        <v>22986</v>
      </c>
      <c r="E12" s="9"/>
      <c r="F12" s="55" t="s">
        <v>10</v>
      </c>
      <c r="G12" s="53">
        <f t="shared" si="0"/>
        <v>298.81800362531015</v>
      </c>
      <c r="H12" s="57">
        <v>99333.3</v>
      </c>
      <c r="I12" s="57">
        <v>298</v>
      </c>
      <c r="J12" s="10" t="s">
        <v>10</v>
      </c>
      <c r="K12" s="11">
        <f t="shared" si="1"/>
        <v>297.99992614868535</v>
      </c>
      <c r="L12" s="57">
        <v>364833.3</v>
      </c>
      <c r="M12" s="57">
        <v>1094.5</v>
      </c>
      <c r="N12" s="10" t="s">
        <v>10</v>
      </c>
      <c r="O12" s="11">
        <f t="shared" si="2"/>
        <v>1094.4999510018617</v>
      </c>
      <c r="P12" s="57">
        <v>6</v>
      </c>
      <c r="Q12" s="57">
        <v>1.8</v>
      </c>
      <c r="R12" s="10" t="s">
        <v>10</v>
      </c>
      <c r="S12" s="11">
        <f t="shared" si="3"/>
        <v>0.1811607784484715</v>
      </c>
      <c r="T12" s="11">
        <f t="shared" si="4"/>
        <v>1691.4990415543057</v>
      </c>
      <c r="U12" s="45">
        <v>53.3</v>
      </c>
      <c r="V12" s="11">
        <f t="shared" si="6"/>
        <v>1744.7990415543056</v>
      </c>
      <c r="W12" s="11">
        <f t="shared" si="7"/>
        <v>2.0697497527334585</v>
      </c>
      <c r="X12" s="36">
        <f t="shared" si="5"/>
        <v>0.6964080470354009</v>
      </c>
    </row>
    <row r="13" spans="1:24" ht="12.75">
      <c r="A13" s="6">
        <v>8</v>
      </c>
      <c r="B13" s="7" t="s">
        <v>55</v>
      </c>
      <c r="C13" s="49">
        <v>1950</v>
      </c>
      <c r="D13" s="57">
        <v>81954</v>
      </c>
      <c r="E13" s="9"/>
      <c r="F13" s="55" t="s">
        <v>10</v>
      </c>
      <c r="G13" s="53">
        <f t="shared" si="0"/>
        <v>1065.402012925636</v>
      </c>
      <c r="H13" s="57">
        <v>253000</v>
      </c>
      <c r="I13" s="57">
        <v>759</v>
      </c>
      <c r="J13" s="10" t="s">
        <v>10</v>
      </c>
      <c r="K13" s="11">
        <f t="shared" si="1"/>
        <v>759.0000666001974</v>
      </c>
      <c r="L13" s="57">
        <v>638433.3</v>
      </c>
      <c r="M13" s="57">
        <v>1915.3</v>
      </c>
      <c r="N13" s="10" t="s">
        <v>10</v>
      </c>
      <c r="O13" s="11">
        <f t="shared" si="2"/>
        <v>1915.299989249767</v>
      </c>
      <c r="P13" s="57">
        <v>31166.7</v>
      </c>
      <c r="Q13" s="57">
        <v>995</v>
      </c>
      <c r="R13" s="10" t="s">
        <v>10</v>
      </c>
      <c r="S13" s="11">
        <f t="shared" si="3"/>
        <v>941.0306056116628</v>
      </c>
      <c r="T13" s="11">
        <f t="shared" si="4"/>
        <v>4680.732674387264</v>
      </c>
      <c r="U13" s="45">
        <v>123.2</v>
      </c>
      <c r="V13" s="11">
        <f t="shared" si="6"/>
        <v>4803.932674387263</v>
      </c>
      <c r="W13" s="11">
        <f t="shared" si="7"/>
        <v>2.463555217634494</v>
      </c>
      <c r="X13" s="36">
        <f t="shared" si="5"/>
        <v>0.8289116477056777</v>
      </c>
    </row>
    <row r="14" spans="1:24" ht="12.75">
      <c r="A14" s="6">
        <v>9</v>
      </c>
      <c r="B14" s="7" t="s">
        <v>56</v>
      </c>
      <c r="C14" s="49">
        <v>678</v>
      </c>
      <c r="D14" s="57">
        <v>15854</v>
      </c>
      <c r="E14" s="9"/>
      <c r="F14" s="55" t="s">
        <v>10</v>
      </c>
      <c r="G14" s="53">
        <f t="shared" si="0"/>
        <v>206.1020025004641</v>
      </c>
      <c r="H14" s="57">
        <v>55666.6</v>
      </c>
      <c r="I14" s="57">
        <v>167</v>
      </c>
      <c r="J14" s="10" t="s">
        <v>10</v>
      </c>
      <c r="K14" s="11">
        <f t="shared" si="1"/>
        <v>166.99981465378082</v>
      </c>
      <c r="L14" s="57">
        <v>120333.3</v>
      </c>
      <c r="M14" s="57">
        <v>361</v>
      </c>
      <c r="N14" s="10" t="s">
        <v>10</v>
      </c>
      <c r="O14" s="11">
        <f t="shared" si="2"/>
        <v>360.9999168219906</v>
      </c>
      <c r="P14" s="57">
        <v>393.3</v>
      </c>
      <c r="Q14" s="57">
        <v>11.8</v>
      </c>
      <c r="R14" s="10" t="s">
        <v>10</v>
      </c>
      <c r="S14" s="11">
        <f t="shared" si="3"/>
        <v>11.875089027297308</v>
      </c>
      <c r="T14" s="11">
        <f t="shared" si="4"/>
        <v>745.9768230035328</v>
      </c>
      <c r="U14" s="45">
        <v>42.8</v>
      </c>
      <c r="V14" s="11">
        <f t="shared" si="6"/>
        <v>788.7768230035327</v>
      </c>
      <c r="W14" s="11">
        <f t="shared" si="7"/>
        <v>1.1633876445479834</v>
      </c>
      <c r="X14" s="36">
        <f t="shared" si="5"/>
        <v>0.3914446741277677</v>
      </c>
    </row>
    <row r="15" spans="1:24" ht="12.75">
      <c r="A15" s="6">
        <v>10</v>
      </c>
      <c r="B15" s="7" t="s">
        <v>57</v>
      </c>
      <c r="C15" s="49">
        <v>1925</v>
      </c>
      <c r="D15" s="57">
        <v>66115</v>
      </c>
      <c r="E15" s="9"/>
      <c r="F15" s="55" t="s">
        <v>10</v>
      </c>
      <c r="G15" s="53">
        <f t="shared" si="0"/>
        <v>859.4950104275376</v>
      </c>
      <c r="H15" s="57">
        <v>166666.6</v>
      </c>
      <c r="I15" s="57">
        <v>500</v>
      </c>
      <c r="J15" s="10" t="s">
        <v>10</v>
      </c>
      <c r="K15" s="11">
        <f t="shared" si="1"/>
        <v>499.9998438736303</v>
      </c>
      <c r="L15" s="57">
        <v>268600</v>
      </c>
      <c r="M15" s="57">
        <v>805.8</v>
      </c>
      <c r="N15" s="10" t="s">
        <v>10</v>
      </c>
      <c r="O15" s="11">
        <f t="shared" si="2"/>
        <v>805.80003754893</v>
      </c>
      <c r="P15" s="57">
        <v>1033.3</v>
      </c>
      <c r="Q15" s="57">
        <v>31</v>
      </c>
      <c r="R15" s="10" t="s">
        <v>10</v>
      </c>
      <c r="S15" s="11">
        <f t="shared" si="3"/>
        <v>31.19890539513427</v>
      </c>
      <c r="T15" s="11">
        <f t="shared" si="4"/>
        <v>2196.493797245232</v>
      </c>
      <c r="U15" s="45">
        <v>121.6</v>
      </c>
      <c r="V15" s="11">
        <f t="shared" si="6"/>
        <v>2318.093797245232</v>
      </c>
      <c r="W15" s="11">
        <f t="shared" si="7"/>
        <v>1.2042045699975232</v>
      </c>
      <c r="X15" s="36">
        <f t="shared" si="5"/>
        <v>0.40517833217061233</v>
      </c>
    </row>
    <row r="16" spans="1:24" ht="12.75">
      <c r="A16" s="12"/>
      <c r="B16" s="13" t="s">
        <v>11</v>
      </c>
      <c r="C16" s="13">
        <f>SUM(C6:C15)</f>
        <v>25590</v>
      </c>
      <c r="D16" s="14">
        <f>SUM(D6:D15)</f>
        <v>2536169.2</v>
      </c>
      <c r="E16" s="14">
        <v>329702</v>
      </c>
      <c r="F16" s="13">
        <f>IF(D16&lt;&gt;0,E16/D16,0)</f>
        <v>0.13000000157718183</v>
      </c>
      <c r="G16" s="14">
        <f>SUM(G6:G15)</f>
        <v>32970.2</v>
      </c>
      <c r="H16" s="14">
        <f>SUM(H6:H15)</f>
        <v>4178666.2999999993</v>
      </c>
      <c r="I16" s="14">
        <f>SUM(I6:I15)</f>
        <v>12536</v>
      </c>
      <c r="J16" s="13">
        <f>IF(H16&lt;&gt;0,I16/H16,0)</f>
        <v>0.003000000263241887</v>
      </c>
      <c r="K16" s="14">
        <f>SUM(K6:K15)</f>
        <v>12536.000000000002</v>
      </c>
      <c r="L16" s="14">
        <f>SUM(L6:L15)</f>
        <v>6437999.699999999</v>
      </c>
      <c r="M16" s="14">
        <f>SUM(M6:M15)</f>
        <v>19314</v>
      </c>
      <c r="N16" s="13">
        <f>IF(L16&lt;&gt;0,M16/L16,0)</f>
        <v>0.0030000001397949743</v>
      </c>
      <c r="O16" s="14">
        <f>SUM(O6:O15)</f>
        <v>19314.000000000007</v>
      </c>
      <c r="P16" s="14">
        <f>P6+P7+P8+P9+P10+P11+P12+P13++P14+P15</f>
        <v>318525.89999999997</v>
      </c>
      <c r="Q16" s="14">
        <f>SUM(Q6:Q15)</f>
        <v>9617.399999999998</v>
      </c>
      <c r="R16" s="13">
        <f>IF(P16&lt;&gt;0,Q16/P16,0)</f>
        <v>0.030193463074745252</v>
      </c>
      <c r="S16" s="14">
        <f>SUM(S6:S15)</f>
        <v>9617.4</v>
      </c>
      <c r="T16" s="14">
        <f t="shared" si="4"/>
        <v>74437.6</v>
      </c>
      <c r="U16" s="14">
        <f>SUM(U6:U15)</f>
        <v>1616.8</v>
      </c>
      <c r="V16" s="14">
        <f>U16+T16</f>
        <v>76054.40000000001</v>
      </c>
      <c r="W16" s="42">
        <f t="shared" si="7"/>
        <v>2.972035951543572</v>
      </c>
      <c r="X16" s="14">
        <f t="shared" si="5"/>
        <v>1</v>
      </c>
    </row>
  </sheetData>
  <sheetProtection/>
  <mergeCells count="13">
    <mergeCell ref="W3:W4"/>
    <mergeCell ref="X3:X4"/>
    <mergeCell ref="A3:A4"/>
    <mergeCell ref="B3:B4"/>
    <mergeCell ref="D3:G3"/>
    <mergeCell ref="H3:K3"/>
    <mergeCell ref="L3:O3"/>
    <mergeCell ref="P3:S3"/>
    <mergeCell ref="U3:U4"/>
    <mergeCell ref="V3:V4"/>
    <mergeCell ref="C1:K1"/>
    <mergeCell ref="T3:T4"/>
    <mergeCell ref="C3:C4"/>
  </mergeCells>
  <printOptions horizontalCentered="1" verticalCentered="1"/>
  <pageMargins left="0.31496062992125984" right="0.1968503937007874" top="0.1968503937007874" bottom="0.1968503937007874" header="0.15748031496062992" footer="0.15748031496062992"/>
  <pageSetup horizontalDpi="600" verticalDpi="600" orientation="landscape" paperSize="9" scale="70" r:id="rId1"/>
  <colBreaks count="1" manualBreakCount="1">
    <brk id="15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1"/>
  <sheetViews>
    <sheetView zoomScale="110" zoomScaleNormal="110" zoomScaleSheetLayoutView="11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29" sqref="J29"/>
    </sheetView>
  </sheetViews>
  <sheetFormatPr defaultColWidth="8.00390625" defaultRowHeight="12.75"/>
  <cols>
    <col min="1" max="1" width="3.25390625" style="1" customWidth="1"/>
    <col min="2" max="2" width="22.125" style="1" customWidth="1"/>
    <col min="3" max="7" width="10.875" style="1" customWidth="1"/>
    <col min="8" max="8" width="9.875" style="1" customWidth="1"/>
    <col min="9" max="9" width="12.125" style="1" customWidth="1"/>
    <col min="10" max="10" width="10.625" style="1" customWidth="1"/>
    <col min="11" max="11" width="10.125" style="1" customWidth="1"/>
    <col min="12" max="12" width="9.25390625" style="1" customWidth="1"/>
    <col min="13" max="13" width="8.00390625" style="1" customWidth="1"/>
    <col min="14" max="14" width="9.00390625" style="1" customWidth="1"/>
    <col min="15" max="16384" width="8.00390625" style="1" customWidth="1"/>
  </cols>
  <sheetData>
    <row r="1" spans="3:8" ht="27" customHeight="1">
      <c r="C1" s="58" t="s">
        <v>74</v>
      </c>
      <c r="D1" s="58"/>
      <c r="E1" s="58"/>
      <c r="F1" s="58"/>
      <c r="G1" s="58"/>
      <c r="H1" s="58"/>
    </row>
    <row r="2" ht="12"/>
    <row r="3" spans="1:12" ht="30.75" customHeight="1">
      <c r="A3" s="69" t="s">
        <v>0</v>
      </c>
      <c r="B3" s="69" t="s">
        <v>1</v>
      </c>
      <c r="C3" s="71" t="s">
        <v>2</v>
      </c>
      <c r="D3" s="70" t="s">
        <v>47</v>
      </c>
      <c r="E3" s="65" t="s">
        <v>18</v>
      </c>
      <c r="F3" s="65" t="s">
        <v>14</v>
      </c>
      <c r="G3" s="65" t="s">
        <v>15</v>
      </c>
      <c r="H3" s="65" t="s">
        <v>17</v>
      </c>
      <c r="I3" s="59" t="s">
        <v>42</v>
      </c>
      <c r="J3" s="59" t="s">
        <v>40</v>
      </c>
      <c r="K3" s="65" t="s">
        <v>43</v>
      </c>
      <c r="L3" s="59" t="s">
        <v>41</v>
      </c>
    </row>
    <row r="4" spans="1:14" ht="90" customHeight="1">
      <c r="A4" s="69"/>
      <c r="B4" s="69"/>
      <c r="C4" s="71"/>
      <c r="D4" s="70"/>
      <c r="E4" s="66"/>
      <c r="F4" s="66"/>
      <c r="G4" s="66"/>
      <c r="H4" s="66"/>
      <c r="I4" s="59"/>
      <c r="J4" s="59"/>
      <c r="K4" s="66"/>
      <c r="L4" s="59"/>
      <c r="N4" s="48"/>
    </row>
    <row r="5" spans="1:12" s="5" customFormat="1" ht="12">
      <c r="A5" s="4"/>
      <c r="B5" s="4"/>
      <c r="C5" s="4"/>
      <c r="D5" s="4"/>
      <c r="E5" s="4"/>
      <c r="F5" s="4"/>
      <c r="G5" s="16">
        <v>0.5</v>
      </c>
      <c r="H5" s="16">
        <v>4722.6</v>
      </c>
      <c r="I5" s="4"/>
      <c r="J5" s="4"/>
      <c r="K5" s="4"/>
      <c r="L5" s="4"/>
    </row>
    <row r="6" spans="1:17" ht="12.75">
      <c r="A6" s="6">
        <v>1</v>
      </c>
      <c r="B6" s="7" t="s">
        <v>48</v>
      </c>
      <c r="C6" s="49">
        <v>8903</v>
      </c>
      <c r="D6" s="28">
        <f>'ИНП 2024'!X6</f>
        <v>1.1424114856481409</v>
      </c>
      <c r="E6" s="28">
        <f>'ИБР 2024'!Y6</f>
        <v>0.7601203580502163</v>
      </c>
      <c r="F6" s="36">
        <f>IF(E6&lt;&gt;0,D6/E6,0)</f>
        <v>1.5029349938456313</v>
      </c>
      <c r="G6" s="17">
        <f aca="true" t="shared" si="0" ref="G6:G15">IF(F6&lt;$G$5,($G$5-F6)*E6*$G$18*C6/$C$16,0)</f>
        <v>0</v>
      </c>
      <c r="H6" s="17">
        <f aca="true" t="shared" si="1" ref="H6:H16">IF($G$16&lt;&gt;0,ROUND(G6/$G$16*$H$5,1),0)</f>
        <v>0</v>
      </c>
      <c r="I6" s="47">
        <f>43796.1+M6</f>
        <v>44358.7</v>
      </c>
      <c r="J6" s="40">
        <f>I6+H6</f>
        <v>44358.7</v>
      </c>
      <c r="K6" s="41">
        <v>23791.5</v>
      </c>
      <c r="L6" s="40">
        <f>J6-K6</f>
        <v>20567.199999999997</v>
      </c>
      <c r="M6" s="45">
        <v>562.6</v>
      </c>
      <c r="N6" s="50"/>
      <c r="P6" s="54"/>
      <c r="Q6" s="44"/>
    </row>
    <row r="7" spans="1:17" ht="14.25">
      <c r="A7" s="6">
        <v>2</v>
      </c>
      <c r="B7" s="7" t="s">
        <v>49</v>
      </c>
      <c r="C7" s="49">
        <v>4527</v>
      </c>
      <c r="D7" s="28">
        <f>'ИНП 2024'!X7</f>
        <v>0.6582754657059638</v>
      </c>
      <c r="E7" s="28">
        <f>'ИБР 2024'!Y7</f>
        <v>0.8999829595340566</v>
      </c>
      <c r="F7" s="36">
        <f aca="true" t="shared" si="2" ref="F7:F16">IF(E7&lt;&gt;0,D7/E7,0)</f>
        <v>0.731431032923967</v>
      </c>
      <c r="G7" s="17">
        <f t="shared" si="0"/>
        <v>0</v>
      </c>
      <c r="H7" s="17">
        <f t="shared" si="1"/>
        <v>0</v>
      </c>
      <c r="I7" s="47">
        <f>17372.7+M7</f>
        <v>17658.7</v>
      </c>
      <c r="J7" s="40">
        <f aca="true" t="shared" si="3" ref="J7:J16">I7+H7</f>
        <v>17658.7</v>
      </c>
      <c r="K7" s="41">
        <v>13451.8</v>
      </c>
      <c r="L7" s="40">
        <f aca="true" t="shared" si="4" ref="L7:L16">J7-K7</f>
        <v>4206.9000000000015</v>
      </c>
      <c r="M7" s="45">
        <v>286</v>
      </c>
      <c r="N7" s="51"/>
      <c r="P7" s="54"/>
      <c r="Q7" s="44"/>
    </row>
    <row r="8" spans="1:17" ht="14.25">
      <c r="A8" s="6">
        <v>3</v>
      </c>
      <c r="B8" s="7" t="s">
        <v>50</v>
      </c>
      <c r="C8" s="49">
        <v>2444</v>
      </c>
      <c r="D8" s="28">
        <f>'ИНП 2024'!X8</f>
        <v>1.439301507305482</v>
      </c>
      <c r="E8" s="28">
        <f>'ИБР 2024'!Y8</f>
        <v>0.9540850022984666</v>
      </c>
      <c r="F8" s="36">
        <f t="shared" si="2"/>
        <v>1.5085673748545363</v>
      </c>
      <c r="G8" s="17">
        <f t="shared" si="0"/>
        <v>0</v>
      </c>
      <c r="H8" s="17">
        <f t="shared" si="1"/>
        <v>0</v>
      </c>
      <c r="I8" s="47">
        <f>12181.5+M8</f>
        <v>12335.9</v>
      </c>
      <c r="J8" s="40">
        <f t="shared" si="3"/>
        <v>12335.9</v>
      </c>
      <c r="K8" s="41">
        <v>8634.6</v>
      </c>
      <c r="L8" s="40">
        <f t="shared" si="4"/>
        <v>3701.2999999999993</v>
      </c>
      <c r="M8" s="45">
        <v>154.4</v>
      </c>
      <c r="N8" s="51"/>
      <c r="P8" s="54"/>
      <c r="Q8" s="44"/>
    </row>
    <row r="9" spans="1:17" ht="14.25">
      <c r="A9" s="6">
        <v>4</v>
      </c>
      <c r="B9" s="7" t="s">
        <v>51</v>
      </c>
      <c r="C9" s="49">
        <v>689</v>
      </c>
      <c r="D9" s="28">
        <f>'ИНП 2024'!X9</f>
        <v>3.0396090623702947</v>
      </c>
      <c r="E9" s="28">
        <f>'ИБР 2024'!Y9</f>
        <v>1.9202094124205686</v>
      </c>
      <c r="F9" s="36">
        <f t="shared" si="2"/>
        <v>1.582957068489024</v>
      </c>
      <c r="G9" s="17">
        <f t="shared" si="0"/>
        <v>0</v>
      </c>
      <c r="H9" s="17">
        <f t="shared" si="1"/>
        <v>0</v>
      </c>
      <c r="I9" s="47">
        <f>7174.5+M9</f>
        <v>7218</v>
      </c>
      <c r="J9" s="40">
        <f t="shared" si="3"/>
        <v>7218</v>
      </c>
      <c r="K9" s="41">
        <v>3614.2</v>
      </c>
      <c r="L9" s="40">
        <f t="shared" si="4"/>
        <v>3603.8</v>
      </c>
      <c r="M9" s="45">
        <v>43.5</v>
      </c>
      <c r="N9" s="51"/>
      <c r="P9" s="54"/>
      <c r="Q9" s="44"/>
    </row>
    <row r="10" spans="1:17" ht="14.25">
      <c r="A10" s="6">
        <v>5</v>
      </c>
      <c r="B10" s="7" t="s">
        <v>52</v>
      </c>
      <c r="C10" s="49">
        <v>1914</v>
      </c>
      <c r="D10" s="28">
        <f>'ИНП 2024'!X10</f>
        <v>0.3894870188139689</v>
      </c>
      <c r="E10" s="28">
        <f>'ИБР 2024'!Y10</f>
        <v>1.214430690107013</v>
      </c>
      <c r="F10" s="36">
        <f t="shared" si="2"/>
        <v>0.3207157246492578</v>
      </c>
      <c r="G10" s="17">
        <f t="shared" si="0"/>
        <v>1771.7543255457604</v>
      </c>
      <c r="H10" s="17">
        <f t="shared" si="1"/>
        <v>1771.8</v>
      </c>
      <c r="I10" s="47">
        <f>4208.3+M10</f>
        <v>4329.2</v>
      </c>
      <c r="J10" s="40">
        <f t="shared" si="3"/>
        <v>6101</v>
      </c>
      <c r="K10" s="41">
        <v>5599.8</v>
      </c>
      <c r="L10" s="40">
        <f t="shared" si="4"/>
        <v>501.1999999999998</v>
      </c>
      <c r="M10" s="45">
        <v>120.9</v>
      </c>
      <c r="N10" s="51"/>
      <c r="P10" s="54"/>
      <c r="Q10" s="44"/>
    </row>
    <row r="11" spans="1:17" ht="14.25">
      <c r="A11" s="6">
        <v>6</v>
      </c>
      <c r="B11" s="7" t="s">
        <v>53</v>
      </c>
      <c r="C11" s="49">
        <v>1717</v>
      </c>
      <c r="D11" s="28">
        <f>'ИНП 2024'!X11</f>
        <v>1.649888382656998</v>
      </c>
      <c r="E11" s="28">
        <f>'ИБР 2024'!Y11</f>
        <v>1.2500725361704115</v>
      </c>
      <c r="F11" s="36">
        <f t="shared" si="2"/>
        <v>1.3198341175556259</v>
      </c>
      <c r="G11" s="17">
        <f t="shared" si="0"/>
        <v>0</v>
      </c>
      <c r="H11" s="17">
        <f t="shared" si="1"/>
        <v>0</v>
      </c>
      <c r="I11" s="47">
        <f>9955.2+M11</f>
        <v>10063.7</v>
      </c>
      <c r="J11" s="40">
        <f t="shared" si="3"/>
        <v>10063.7</v>
      </c>
      <c r="K11" s="41">
        <v>7678.5</v>
      </c>
      <c r="L11" s="40">
        <f t="shared" si="4"/>
        <v>2385.2000000000007</v>
      </c>
      <c r="M11" s="45">
        <v>108.5</v>
      </c>
      <c r="N11" s="51"/>
      <c r="P11" s="54"/>
      <c r="Q11" s="44"/>
    </row>
    <row r="12" spans="1:17" ht="14.25">
      <c r="A12" s="6">
        <v>7</v>
      </c>
      <c r="B12" s="7" t="s">
        <v>54</v>
      </c>
      <c r="C12" s="49">
        <v>843</v>
      </c>
      <c r="D12" s="28">
        <f>'ИНП 2024'!X12</f>
        <v>0.6964080470354009</v>
      </c>
      <c r="E12" s="28">
        <f>'ИБР 2024'!Y12</f>
        <v>1.480632848902093</v>
      </c>
      <c r="F12" s="36">
        <f t="shared" si="2"/>
        <v>0.4703448579786649</v>
      </c>
      <c r="G12" s="17">
        <f t="shared" si="0"/>
        <v>157.36987412554376</v>
      </c>
      <c r="H12" s="17">
        <f t="shared" si="1"/>
        <v>157.4</v>
      </c>
      <c r="I12" s="47">
        <f>2485.3+M12</f>
        <v>2538.6000000000004</v>
      </c>
      <c r="J12" s="40">
        <f t="shared" si="3"/>
        <v>2696.0000000000005</v>
      </c>
      <c r="K12" s="41">
        <v>3176.1</v>
      </c>
      <c r="L12" s="40">
        <f t="shared" si="4"/>
        <v>-480.09999999999945</v>
      </c>
      <c r="M12" s="45">
        <v>53.3</v>
      </c>
      <c r="N12" s="51"/>
      <c r="P12" s="54"/>
      <c r="Q12" s="44"/>
    </row>
    <row r="13" spans="1:17" ht="14.25">
      <c r="A13" s="6">
        <v>8</v>
      </c>
      <c r="B13" s="7" t="s">
        <v>55</v>
      </c>
      <c r="C13" s="49">
        <v>1950</v>
      </c>
      <c r="D13" s="28">
        <f>'ИНП 2024'!X13</f>
        <v>0.8289116477056777</v>
      </c>
      <c r="E13" s="28">
        <f>'ИБР 2024'!Y13</f>
        <v>1.0101902214497618</v>
      </c>
      <c r="F13" s="36">
        <f t="shared" si="2"/>
        <v>0.8205500608747485</v>
      </c>
      <c r="G13" s="17">
        <f t="shared" si="0"/>
        <v>0</v>
      </c>
      <c r="H13" s="17">
        <f t="shared" si="1"/>
        <v>0</v>
      </c>
      <c r="I13" s="47">
        <f>7006.3+M13</f>
        <v>7129.5</v>
      </c>
      <c r="J13" s="40">
        <f t="shared" si="3"/>
        <v>7129.5</v>
      </c>
      <c r="K13" s="41">
        <v>6393.4</v>
      </c>
      <c r="L13" s="40">
        <f t="shared" si="4"/>
        <v>736.1000000000004</v>
      </c>
      <c r="M13" s="45">
        <v>123.2</v>
      </c>
      <c r="N13" s="51"/>
      <c r="P13" s="54"/>
      <c r="Q13" s="44"/>
    </row>
    <row r="14" spans="1:17" ht="14.25">
      <c r="A14" s="6">
        <v>9</v>
      </c>
      <c r="B14" s="7" t="s">
        <v>56</v>
      </c>
      <c r="C14" s="49">
        <v>678</v>
      </c>
      <c r="D14" s="28">
        <f>'ИНП 2024'!X14</f>
        <v>0.3914446741277677</v>
      </c>
      <c r="E14" s="28">
        <f>'ИБР 2024'!Y14</f>
        <v>1.934912342150715</v>
      </c>
      <c r="F14" s="36">
        <f t="shared" si="2"/>
        <v>0.20230615392770962</v>
      </c>
      <c r="G14" s="17">
        <f t="shared" si="0"/>
        <v>1660.379948458378</v>
      </c>
      <c r="H14" s="17">
        <f t="shared" si="1"/>
        <v>1660.4</v>
      </c>
      <c r="I14" s="47">
        <f>1264.8+M14</f>
        <v>1307.6</v>
      </c>
      <c r="J14" s="40">
        <f t="shared" si="3"/>
        <v>2968</v>
      </c>
      <c r="K14" s="41">
        <v>2850.4</v>
      </c>
      <c r="L14" s="40">
        <f t="shared" si="4"/>
        <v>117.59999999999991</v>
      </c>
      <c r="M14" s="45">
        <v>42.8</v>
      </c>
      <c r="N14" s="51"/>
      <c r="P14" s="54"/>
      <c r="Q14" s="44"/>
    </row>
    <row r="15" spans="1:17" ht="14.25">
      <c r="A15" s="6">
        <v>10</v>
      </c>
      <c r="B15" s="7" t="s">
        <v>57</v>
      </c>
      <c r="C15" s="49">
        <v>1925</v>
      </c>
      <c r="D15" s="28">
        <f>'ИНП 2024'!X15</f>
        <v>0.40517833217061233</v>
      </c>
      <c r="E15" s="28">
        <f>'ИБР 2024'!Y15</f>
        <v>1.0872247723604793</v>
      </c>
      <c r="F15" s="36">
        <f t="shared" si="2"/>
        <v>0.3726720936379398</v>
      </c>
      <c r="G15" s="17">
        <f t="shared" si="0"/>
        <v>1132.9749439278796</v>
      </c>
      <c r="H15" s="17">
        <f t="shared" si="1"/>
        <v>1133</v>
      </c>
      <c r="I15" s="47">
        <f>3352.3+M15</f>
        <v>3473.9</v>
      </c>
      <c r="J15" s="40">
        <f t="shared" si="3"/>
        <v>4606.9</v>
      </c>
      <c r="K15" s="41">
        <v>4461.4</v>
      </c>
      <c r="L15" s="40">
        <f t="shared" si="4"/>
        <v>145.5</v>
      </c>
      <c r="M15" s="45">
        <v>121.6</v>
      </c>
      <c r="N15" s="51"/>
      <c r="P15" s="54"/>
      <c r="Q15" s="44"/>
    </row>
    <row r="16" spans="1:17" ht="14.25">
      <c r="A16" s="12"/>
      <c r="B16" s="13" t="s">
        <v>11</v>
      </c>
      <c r="C16" s="13">
        <f>SUM(C6:C15)</f>
        <v>25590</v>
      </c>
      <c r="D16" s="37">
        <f>'ИНП 2024'!X16</f>
        <v>1</v>
      </c>
      <c r="E16" s="37">
        <f>'ИБР 2024'!Y16</f>
        <v>1</v>
      </c>
      <c r="F16" s="38">
        <f t="shared" si="2"/>
        <v>1</v>
      </c>
      <c r="G16" s="39">
        <f>SUM(G6:G15)+0.1</f>
        <v>4722.579092057562</v>
      </c>
      <c r="H16" s="39">
        <f t="shared" si="1"/>
        <v>4722.6</v>
      </c>
      <c r="I16" s="39">
        <f>SUM(I6:I15)</f>
        <v>110413.79999999999</v>
      </c>
      <c r="J16" s="39">
        <f t="shared" si="3"/>
        <v>115136.4</v>
      </c>
      <c r="K16" s="39">
        <f>SUM(K6:K15)</f>
        <v>79651.69999999998</v>
      </c>
      <c r="L16" s="39">
        <f t="shared" si="4"/>
        <v>35484.70000000001</v>
      </c>
      <c r="M16" s="1">
        <f>SUM(M6:M15)</f>
        <v>1616.8</v>
      </c>
      <c r="N16" s="51"/>
      <c r="P16" s="54"/>
      <c r="Q16" s="44"/>
    </row>
    <row r="17" spans="8:14" ht="14.25">
      <c r="H17" s="44"/>
      <c r="I17" s="44"/>
      <c r="N17" s="52"/>
    </row>
    <row r="18" spans="6:17" ht="14.25">
      <c r="F18" s="18" t="s">
        <v>16</v>
      </c>
      <c r="G18" s="9">
        <v>108797</v>
      </c>
      <c r="I18" s="44"/>
      <c r="L18" s="44"/>
      <c r="N18" s="52"/>
      <c r="Q18" s="44"/>
    </row>
    <row r="19" spans="9:14" ht="14.25">
      <c r="I19" s="44"/>
      <c r="L19" s="44"/>
      <c r="N19" s="51"/>
    </row>
    <row r="20" spans="7:8" ht="11.25">
      <c r="G20" s="44"/>
      <c r="H20" s="44"/>
    </row>
    <row r="21" ht="11.25">
      <c r="G21" s="44"/>
    </row>
  </sheetData>
  <sheetProtection/>
  <mergeCells count="13">
    <mergeCell ref="C1:H1"/>
    <mergeCell ref="C3:C4"/>
    <mergeCell ref="G3:G4"/>
    <mergeCell ref="H3:H4"/>
    <mergeCell ref="I3:I4"/>
    <mergeCell ref="J3:J4"/>
    <mergeCell ref="L3:L4"/>
    <mergeCell ref="K3:K4"/>
    <mergeCell ref="A3:A4"/>
    <mergeCell ref="B3:B4"/>
    <mergeCell ref="D3:D4"/>
    <mergeCell ref="E3:E4"/>
    <mergeCell ref="F3:F4"/>
  </mergeCells>
  <printOptions horizontalCentered="1" verticalCentered="1"/>
  <pageMargins left="0.31496062992125984" right="0.1968503937007874" top="0.1968503937007874" bottom="0.1968503937007874" header="0.15748031496062992" footer="0.15748031496062992"/>
  <pageSetup horizontalDpi="600" verticalDpi="600" orientation="landscape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V27" sqref="V27"/>
    </sheetView>
  </sheetViews>
  <sheetFormatPr defaultColWidth="8.00390625" defaultRowHeight="12.75"/>
  <cols>
    <col min="1" max="1" width="3.25390625" style="1" customWidth="1"/>
    <col min="2" max="2" width="22.125" style="1" customWidth="1"/>
    <col min="3" max="5" width="8.75390625" style="19" customWidth="1"/>
    <col min="6" max="7" width="9.00390625" style="19" customWidth="1"/>
    <col min="8" max="10" width="8.75390625" style="19" hidden="1" customWidth="1"/>
    <col min="11" max="14" width="8.75390625" style="19" customWidth="1"/>
    <col min="15" max="15" width="9.875" style="19" customWidth="1"/>
    <col min="16" max="17" width="8.75390625" style="19" customWidth="1"/>
    <col min="18" max="18" width="9.625" style="19" customWidth="1"/>
    <col min="19" max="19" width="10.00390625" style="19" customWidth="1"/>
    <col min="20" max="25" width="8.75390625" style="19" customWidth="1"/>
    <col min="26" max="16384" width="8.00390625" style="1" customWidth="1"/>
  </cols>
  <sheetData>
    <row r="1" spans="2:25" ht="27" customHeight="1">
      <c r="B1" s="58" t="s">
        <v>73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11.25">
      <c r="Y2" s="1" t="s">
        <v>19</v>
      </c>
    </row>
    <row r="3" spans="1:25" ht="30.75" customHeight="1">
      <c r="A3" s="67" t="s">
        <v>0</v>
      </c>
      <c r="B3" s="67" t="s">
        <v>1</v>
      </c>
      <c r="C3" s="60" t="str">
        <f>'[2]МР_П'!C3</f>
        <v>Числен-ность постоян-ного населения, чел</v>
      </c>
      <c r="D3" s="20" t="s">
        <v>20</v>
      </c>
      <c r="E3" s="60" t="s">
        <v>21</v>
      </c>
      <c r="F3" s="59" t="s">
        <v>22</v>
      </c>
      <c r="G3" s="59"/>
      <c r="H3" s="21"/>
      <c r="I3" s="21"/>
      <c r="J3" s="21"/>
      <c r="K3" s="59" t="s">
        <v>23</v>
      </c>
      <c r="L3" s="59"/>
      <c r="M3" s="59"/>
      <c r="N3" s="59"/>
      <c r="O3" s="62" t="s">
        <v>24</v>
      </c>
      <c r="P3" s="63"/>
      <c r="Q3" s="63"/>
      <c r="R3" s="63"/>
      <c r="S3" s="64"/>
      <c r="T3" s="62" t="s">
        <v>25</v>
      </c>
      <c r="U3" s="63"/>
      <c r="V3" s="63"/>
      <c r="W3" s="63"/>
      <c r="X3" s="64"/>
      <c r="Y3" s="65" t="s">
        <v>13</v>
      </c>
    </row>
    <row r="4" spans="1:25" ht="56.25">
      <c r="A4" s="68"/>
      <c r="B4" s="68"/>
      <c r="C4" s="61"/>
      <c r="D4" s="20" t="s">
        <v>26</v>
      </c>
      <c r="E4" s="61"/>
      <c r="F4" s="20" t="s">
        <v>27</v>
      </c>
      <c r="G4" s="20" t="s">
        <v>28</v>
      </c>
      <c r="H4" s="22" t="s">
        <v>29</v>
      </c>
      <c r="I4" s="22" t="s">
        <v>30</v>
      </c>
      <c r="J4" s="22"/>
      <c r="K4" s="20" t="s">
        <v>31</v>
      </c>
      <c r="L4" s="20" t="s">
        <v>32</v>
      </c>
      <c r="M4" s="20" t="s">
        <v>33</v>
      </c>
      <c r="N4" s="20" t="s">
        <v>34</v>
      </c>
      <c r="O4" s="15" t="s">
        <v>35</v>
      </c>
      <c r="P4" s="15" t="s">
        <v>36</v>
      </c>
      <c r="Q4" s="15" t="s">
        <v>37</v>
      </c>
      <c r="R4" s="15" t="s">
        <v>38</v>
      </c>
      <c r="S4" s="15" t="s">
        <v>39</v>
      </c>
      <c r="T4" s="15" t="s">
        <v>35</v>
      </c>
      <c r="U4" s="15" t="s">
        <v>36</v>
      </c>
      <c r="V4" s="15" t="s">
        <v>37</v>
      </c>
      <c r="W4" s="15" t="s">
        <v>38</v>
      </c>
      <c r="X4" s="15" t="s">
        <v>39</v>
      </c>
      <c r="Y4" s="66"/>
    </row>
    <row r="5" spans="1:25" s="5" customFormat="1" ht="11.25">
      <c r="A5" s="4"/>
      <c r="B5" s="4"/>
      <c r="C5" s="4"/>
      <c r="D5" s="4"/>
      <c r="E5" s="4"/>
      <c r="F5" s="4"/>
      <c r="G5" s="4"/>
      <c r="H5" s="23"/>
      <c r="I5" s="23"/>
      <c r="J5" s="23"/>
      <c r="K5" s="4"/>
      <c r="L5" s="4"/>
      <c r="M5" s="4"/>
      <c r="N5" s="4"/>
      <c r="O5" s="4"/>
      <c r="P5" s="4"/>
      <c r="Q5" s="4"/>
      <c r="R5" s="4"/>
      <c r="S5" s="4"/>
      <c r="T5" s="24">
        <v>0.26</v>
      </c>
      <c r="U5" s="24">
        <v>0</v>
      </c>
      <c r="V5" s="24">
        <v>0</v>
      </c>
      <c r="W5" s="24">
        <v>0.35</v>
      </c>
      <c r="X5" s="24">
        <v>0.39</v>
      </c>
      <c r="Y5" s="4"/>
    </row>
    <row r="6" spans="1:25" ht="11.25">
      <c r="A6" s="6">
        <v>1</v>
      </c>
      <c r="B6" s="7" t="s">
        <v>48</v>
      </c>
      <c r="C6" s="49">
        <v>8903</v>
      </c>
      <c r="D6" s="8">
        <v>8903</v>
      </c>
      <c r="E6" s="8"/>
      <c r="F6" s="25">
        <v>2917.04</v>
      </c>
      <c r="G6" s="25">
        <v>55.73</v>
      </c>
      <c r="H6" s="26">
        <v>21467.3</v>
      </c>
      <c r="I6" s="26">
        <f aca="true" t="shared" si="0" ref="I6:I12">F6*H6</f>
        <v>62620972.791999996</v>
      </c>
      <c r="J6" s="27">
        <f>'ИБР 2025'!G6*'ИБР 2025'!H6/'ИБР 2025'!$H$16</f>
        <v>10.795735650023913</v>
      </c>
      <c r="K6" s="28">
        <f aca="true" t="shared" si="1" ref="K6:K15">IF(C6&lt;&gt;0,0.6+0.4*($C$16/COUNT($A$6:$A$15))/C6,0)</f>
        <v>0.714972481186117</v>
      </c>
      <c r="L6" s="28">
        <f>IF(C6&lt;&gt;0,1+E6/C6,0)</f>
        <v>1</v>
      </c>
      <c r="M6" s="28">
        <f>IF(C6&lt;&gt;0,1+D6/C6,0)</f>
        <v>2</v>
      </c>
      <c r="N6" s="28">
        <f aca="true" t="shared" si="2" ref="N6:N16">IF($G$16&lt;&gt;0,0.9+0.1*(0.8*F6/$F$16+0.2*G6/$G$16),0)</f>
        <v>1</v>
      </c>
      <c r="O6" s="17">
        <f aca="true" t="shared" si="3" ref="O6:O16">C6*K6</f>
        <v>6365.4</v>
      </c>
      <c r="P6" s="17">
        <f>C6*L6*M6</f>
        <v>17806</v>
      </c>
      <c r="Q6" s="17">
        <f aca="true" t="shared" si="4" ref="Q6:Q16">C6*M6</f>
        <v>17806</v>
      </c>
      <c r="R6" s="17">
        <f aca="true" t="shared" si="5" ref="R6:R16">C6*K6*N6</f>
        <v>6365.4</v>
      </c>
      <c r="S6" s="17">
        <f aca="true" t="shared" si="6" ref="S6:S16">C6*L6</f>
        <v>8903</v>
      </c>
      <c r="T6" s="28">
        <f aca="true" t="shared" si="7" ref="T6:T16">IF(C6&lt;&gt;0,(O6/$C6)/(O$16/$C$16),0)</f>
        <v>0.714972481186117</v>
      </c>
      <c r="U6" s="28">
        <f aca="true" t="shared" si="8" ref="U6:U16">IF(C6&lt;&gt;0,(P6/$C6)/(P$16/$C$16),0)</f>
        <v>1.1727879678127948</v>
      </c>
      <c r="V6" s="28">
        <f aca="true" t="shared" si="9" ref="V6:V16">IF(C6&lt;&gt;0,(Q6/$C6)/(Q$16/$C$16),0)</f>
        <v>1.4117452348771136</v>
      </c>
      <c r="W6" s="28">
        <f aca="true" t="shared" si="10" ref="W6:W16">IF(C6&lt;&gt;0,(R6/$C6)/(R$16/$C$16),0)</f>
        <v>0.714972481186117</v>
      </c>
      <c r="X6" s="28">
        <f aca="true" t="shared" si="11" ref="X6:X16">IF(C6&lt;&gt;0,(S6/$C6)/(S$16/$C$16),0)</f>
        <v>0.8307362680171406</v>
      </c>
      <c r="Y6" s="29">
        <f>IF(SUM($T$5:$X$5)=1,T6*$T$5+U6*$U$5+V6*$V$5+W6*$W$5+X6*$X$5,0)</f>
        <v>0.7601203580502163</v>
      </c>
    </row>
    <row r="7" spans="1:25" ht="11.25">
      <c r="A7" s="6">
        <v>2</v>
      </c>
      <c r="B7" s="7" t="s">
        <v>49</v>
      </c>
      <c r="C7" s="49">
        <v>4527</v>
      </c>
      <c r="D7" s="8">
        <v>1760</v>
      </c>
      <c r="E7" s="8">
        <v>1007</v>
      </c>
      <c r="F7" s="25">
        <v>2917.04</v>
      </c>
      <c r="G7" s="25">
        <v>55.73</v>
      </c>
      <c r="H7" s="26">
        <v>13753.5</v>
      </c>
      <c r="I7" s="26">
        <f t="shared" si="0"/>
        <v>40119509.64</v>
      </c>
      <c r="J7" s="27">
        <f>'ИБР 2025'!G7*'ИБР 2025'!H7/'ИБР 2025'!$H$16</f>
        <v>6.916526543282289</v>
      </c>
      <c r="K7" s="28">
        <f t="shared" si="1"/>
        <v>0.8261100066269053</v>
      </c>
      <c r="L7" s="28">
        <f aca="true" t="shared" si="12" ref="L7:L15">IF(C7&lt;&gt;0,1+E7/C7,0)</f>
        <v>1.2224431190633973</v>
      </c>
      <c r="M7" s="28">
        <f aca="true" t="shared" si="13" ref="M7:M15">IF(C7&lt;&gt;0,1+D7/C7,0)</f>
        <v>1.3887784404683012</v>
      </c>
      <c r="N7" s="28">
        <f t="shared" si="2"/>
        <v>1</v>
      </c>
      <c r="O7" s="17">
        <f t="shared" si="3"/>
        <v>3739.8</v>
      </c>
      <c r="P7" s="17">
        <f aca="true" t="shared" si="14" ref="P7:P16">C7*L7*M7</f>
        <v>7685.499889551579</v>
      </c>
      <c r="Q7" s="17">
        <f t="shared" si="4"/>
        <v>6287</v>
      </c>
      <c r="R7" s="17">
        <f t="shared" si="5"/>
        <v>3739.8</v>
      </c>
      <c r="S7" s="17">
        <f t="shared" si="6"/>
        <v>5534</v>
      </c>
      <c r="T7" s="28">
        <f t="shared" si="7"/>
        <v>0.8261100066269053</v>
      </c>
      <c r="U7" s="28">
        <f t="shared" si="8"/>
        <v>0.9955226195154248</v>
      </c>
      <c r="V7" s="28">
        <f t="shared" si="9"/>
        <v>0.9803006728155967</v>
      </c>
      <c r="W7" s="28">
        <f t="shared" si="10"/>
        <v>0.8261100066269053</v>
      </c>
      <c r="X7" s="28">
        <f t="shared" si="11"/>
        <v>1.0155278345939598</v>
      </c>
      <c r="Y7" s="29">
        <f aca="true" t="shared" si="15" ref="Y7:Y16">IF(SUM($T$5:$X$5)=1,T7*$T$5+U7*$U$5+V7*$V$5+W7*$W$5+X7*$X$5,0)</f>
        <v>0.8999829595340566</v>
      </c>
    </row>
    <row r="8" spans="1:25" ht="11.25">
      <c r="A8" s="6">
        <v>3</v>
      </c>
      <c r="B8" s="7" t="s">
        <v>50</v>
      </c>
      <c r="C8" s="49">
        <v>2444</v>
      </c>
      <c r="D8" s="8"/>
      <c r="E8" s="8">
        <v>65</v>
      </c>
      <c r="F8" s="25">
        <v>2917.04</v>
      </c>
      <c r="G8" s="25">
        <v>55.73</v>
      </c>
      <c r="H8" s="26">
        <v>16300</v>
      </c>
      <c r="I8" s="26">
        <f t="shared" si="0"/>
        <v>47547752</v>
      </c>
      <c r="J8" s="27">
        <f>'ИБР 2025'!G8*'ИБР 2025'!H8/'ИБР 2025'!$H$16</f>
        <v>8.197141284436784</v>
      </c>
      <c r="K8" s="28">
        <f t="shared" si="1"/>
        <v>1.018821603927987</v>
      </c>
      <c r="L8" s="28">
        <f t="shared" si="12"/>
        <v>1.0265957446808511</v>
      </c>
      <c r="M8" s="28">
        <f t="shared" si="13"/>
        <v>1</v>
      </c>
      <c r="N8" s="28">
        <f t="shared" si="2"/>
        <v>1</v>
      </c>
      <c r="O8" s="17">
        <f t="shared" si="3"/>
        <v>2490</v>
      </c>
      <c r="P8" s="17">
        <f t="shared" si="14"/>
        <v>2509</v>
      </c>
      <c r="Q8" s="17">
        <f t="shared" si="4"/>
        <v>2444</v>
      </c>
      <c r="R8" s="17">
        <f t="shared" si="5"/>
        <v>2490</v>
      </c>
      <c r="S8" s="17">
        <f t="shared" si="6"/>
        <v>2509</v>
      </c>
      <c r="T8" s="28">
        <f t="shared" si="7"/>
        <v>1.018821603927987</v>
      </c>
      <c r="U8" s="28">
        <f t="shared" si="8"/>
        <v>0.6019895685847592</v>
      </c>
      <c r="V8" s="28">
        <f t="shared" si="9"/>
        <v>0.7058726174385568</v>
      </c>
      <c r="W8" s="28">
        <f t="shared" si="10"/>
        <v>1.018821603927987</v>
      </c>
      <c r="X8" s="28">
        <f t="shared" si="11"/>
        <v>0.8528303176984475</v>
      </c>
      <c r="Y8" s="29">
        <f t="shared" si="15"/>
        <v>0.9540850022984666</v>
      </c>
    </row>
    <row r="9" spans="1:25" ht="11.25">
      <c r="A9" s="6">
        <v>4</v>
      </c>
      <c r="B9" s="7" t="s">
        <v>51</v>
      </c>
      <c r="C9" s="49">
        <v>689</v>
      </c>
      <c r="D9" s="8"/>
      <c r="E9" s="8">
        <v>689</v>
      </c>
      <c r="F9" s="25">
        <v>2917.04</v>
      </c>
      <c r="G9" s="25">
        <v>55.73</v>
      </c>
      <c r="H9" s="26"/>
      <c r="I9" s="26">
        <f t="shared" si="0"/>
        <v>0</v>
      </c>
      <c r="J9" s="27">
        <f>'ИБР 2025'!G9*'ИБР 2025'!H9/'ИБР 2025'!$H$16</f>
        <v>0</v>
      </c>
      <c r="K9" s="28">
        <f t="shared" si="1"/>
        <v>2.085631349782293</v>
      </c>
      <c r="L9" s="28">
        <f t="shared" si="12"/>
        <v>2</v>
      </c>
      <c r="M9" s="28">
        <f t="shared" si="13"/>
        <v>1</v>
      </c>
      <c r="N9" s="28">
        <f t="shared" si="2"/>
        <v>1</v>
      </c>
      <c r="O9" s="17">
        <f t="shared" si="3"/>
        <v>1437</v>
      </c>
      <c r="P9" s="17">
        <f t="shared" si="14"/>
        <v>1378</v>
      </c>
      <c r="Q9" s="17">
        <f t="shared" si="4"/>
        <v>689</v>
      </c>
      <c r="R9" s="17">
        <f t="shared" si="5"/>
        <v>1437</v>
      </c>
      <c r="S9" s="17">
        <f t="shared" si="6"/>
        <v>1378</v>
      </c>
      <c r="T9" s="28">
        <f t="shared" si="7"/>
        <v>2.085631349782293</v>
      </c>
      <c r="U9" s="28">
        <f t="shared" si="8"/>
        <v>1.1727879678127948</v>
      </c>
      <c r="V9" s="28">
        <f t="shared" si="9"/>
        <v>0.7058726174385568</v>
      </c>
      <c r="W9" s="28">
        <f t="shared" si="10"/>
        <v>2.085631349782293</v>
      </c>
      <c r="X9" s="28">
        <f t="shared" si="11"/>
        <v>1.6614725360342812</v>
      </c>
      <c r="Y9" s="29">
        <f t="shared" si="15"/>
        <v>1.9202094124205686</v>
      </c>
    </row>
    <row r="10" spans="1:25" ht="11.25">
      <c r="A10" s="6">
        <v>5</v>
      </c>
      <c r="B10" s="7" t="s">
        <v>52</v>
      </c>
      <c r="C10" s="49">
        <v>1914</v>
      </c>
      <c r="D10" s="8"/>
      <c r="E10" s="8">
        <v>1171</v>
      </c>
      <c r="F10" s="25">
        <v>2917.04</v>
      </c>
      <c r="G10" s="25">
        <v>55.73</v>
      </c>
      <c r="H10" s="26">
        <v>20636.3</v>
      </c>
      <c r="I10" s="26">
        <f t="shared" si="0"/>
        <v>60196912.55199999</v>
      </c>
      <c r="J10" s="27">
        <f>'ИБР 2025'!G10*'ИБР 2025'!H10/'ИБР 2025'!$H$16</f>
        <v>10.377832312148637</v>
      </c>
      <c r="K10" s="28">
        <f t="shared" si="1"/>
        <v>1.134796238244514</v>
      </c>
      <c r="L10" s="28">
        <f t="shared" si="12"/>
        <v>1.6118077324973876</v>
      </c>
      <c r="M10" s="28">
        <f t="shared" si="13"/>
        <v>1</v>
      </c>
      <c r="N10" s="28">
        <f t="shared" si="2"/>
        <v>1</v>
      </c>
      <c r="O10" s="17">
        <f t="shared" si="3"/>
        <v>2172</v>
      </c>
      <c r="P10" s="17">
        <f t="shared" si="14"/>
        <v>3085</v>
      </c>
      <c r="Q10" s="17">
        <f t="shared" si="4"/>
        <v>1914</v>
      </c>
      <c r="R10" s="17">
        <f t="shared" si="5"/>
        <v>2172</v>
      </c>
      <c r="S10" s="17">
        <f t="shared" si="6"/>
        <v>3085</v>
      </c>
      <c r="T10" s="28">
        <f t="shared" si="7"/>
        <v>1.134796238244514</v>
      </c>
      <c r="U10" s="28">
        <f t="shared" si="8"/>
        <v>0.9451543575502801</v>
      </c>
      <c r="V10" s="28">
        <f t="shared" si="9"/>
        <v>0.7058726174385568</v>
      </c>
      <c r="W10" s="28">
        <f t="shared" si="10"/>
        <v>1.134796238244514</v>
      </c>
      <c r="X10" s="28">
        <f t="shared" si="11"/>
        <v>1.3389871404560494</v>
      </c>
      <c r="Y10" s="29">
        <f t="shared" si="15"/>
        <v>1.214430690107013</v>
      </c>
    </row>
    <row r="11" spans="1:25" ht="11.25">
      <c r="A11" s="6">
        <v>6</v>
      </c>
      <c r="B11" s="7" t="s">
        <v>53</v>
      </c>
      <c r="C11" s="49">
        <v>1717</v>
      </c>
      <c r="D11" s="8"/>
      <c r="E11" s="8">
        <v>1041</v>
      </c>
      <c r="F11" s="25">
        <v>2917.04</v>
      </c>
      <c r="G11" s="25">
        <v>55.73</v>
      </c>
      <c r="H11" s="26">
        <v>5640</v>
      </c>
      <c r="I11" s="26">
        <f t="shared" si="0"/>
        <v>16452105.6</v>
      </c>
      <c r="J11" s="27">
        <f>'ИБР 2025'!G11*'ИБР 2025'!H11/'ИБР 2025'!$H$16</f>
        <v>2.836311462835795</v>
      </c>
      <c r="K11" s="28">
        <f t="shared" si="1"/>
        <v>1.196156086196855</v>
      </c>
      <c r="L11" s="28">
        <f t="shared" si="12"/>
        <v>1.6062900407687828</v>
      </c>
      <c r="M11" s="28">
        <f t="shared" si="13"/>
        <v>1</v>
      </c>
      <c r="N11" s="28">
        <f t="shared" si="2"/>
        <v>1</v>
      </c>
      <c r="O11" s="17">
        <f t="shared" si="3"/>
        <v>2053.8</v>
      </c>
      <c r="P11" s="17">
        <f t="shared" si="14"/>
        <v>2758</v>
      </c>
      <c r="Q11" s="17">
        <f t="shared" si="4"/>
        <v>1717</v>
      </c>
      <c r="R11" s="17">
        <f t="shared" si="5"/>
        <v>2053.8</v>
      </c>
      <c r="S11" s="17">
        <f t="shared" si="6"/>
        <v>2758</v>
      </c>
      <c r="T11" s="28">
        <f t="shared" si="7"/>
        <v>1.196156086196855</v>
      </c>
      <c r="U11" s="28">
        <f t="shared" si="8"/>
        <v>0.9419188163155762</v>
      </c>
      <c r="V11" s="28">
        <f t="shared" si="9"/>
        <v>0.7058726174385568</v>
      </c>
      <c r="W11" s="28">
        <f t="shared" si="10"/>
        <v>1.196156086196855</v>
      </c>
      <c r="X11" s="28">
        <f t="shared" si="11"/>
        <v>1.3344033938213593</v>
      </c>
      <c r="Y11" s="29">
        <f t="shared" si="15"/>
        <v>1.2500725361704115</v>
      </c>
    </row>
    <row r="12" spans="1:25" ht="11.25">
      <c r="A12" s="6">
        <v>7</v>
      </c>
      <c r="B12" s="7" t="s">
        <v>54</v>
      </c>
      <c r="C12" s="49">
        <v>843</v>
      </c>
      <c r="D12" s="8"/>
      <c r="E12" s="8">
        <v>130</v>
      </c>
      <c r="F12" s="25">
        <v>2917.04</v>
      </c>
      <c r="G12" s="25">
        <v>55.73</v>
      </c>
      <c r="H12" s="26">
        <v>6002.5</v>
      </c>
      <c r="I12" s="26">
        <f t="shared" si="0"/>
        <v>17509532.6</v>
      </c>
      <c r="J12" s="27">
        <f>'ИБР 2025'!G12*'ИБР 2025'!H12/'ИБР 2025'!$H$16</f>
        <v>3.018609850296429</v>
      </c>
      <c r="K12" s="28">
        <f t="shared" si="1"/>
        <v>1.81423487544484</v>
      </c>
      <c r="L12" s="28">
        <f t="shared" si="12"/>
        <v>1.1542111506524317</v>
      </c>
      <c r="M12" s="28">
        <f t="shared" si="13"/>
        <v>1</v>
      </c>
      <c r="N12" s="28">
        <f t="shared" si="2"/>
        <v>1</v>
      </c>
      <c r="O12" s="17">
        <f t="shared" si="3"/>
        <v>1529.4</v>
      </c>
      <c r="P12" s="17">
        <f t="shared" si="14"/>
        <v>973</v>
      </c>
      <c r="Q12" s="17">
        <f t="shared" si="4"/>
        <v>843</v>
      </c>
      <c r="R12" s="17">
        <f t="shared" si="5"/>
        <v>1529.4</v>
      </c>
      <c r="S12" s="17">
        <f t="shared" si="6"/>
        <v>973</v>
      </c>
      <c r="T12" s="28">
        <f t="shared" si="7"/>
        <v>1.8142348754448399</v>
      </c>
      <c r="U12" s="28">
        <f t="shared" si="8"/>
        <v>0.6768224749002666</v>
      </c>
      <c r="V12" s="28">
        <f t="shared" si="9"/>
        <v>0.7058726174385568</v>
      </c>
      <c r="W12" s="28">
        <f t="shared" si="10"/>
        <v>1.8142348754448399</v>
      </c>
      <c r="X12" s="28">
        <f t="shared" si="11"/>
        <v>0.9588450637967707</v>
      </c>
      <c r="Y12" s="29">
        <f t="shared" si="15"/>
        <v>1.480632848902093</v>
      </c>
    </row>
    <row r="13" spans="1:25" ht="11.25">
      <c r="A13" s="6">
        <v>8</v>
      </c>
      <c r="B13" s="7" t="s">
        <v>55</v>
      </c>
      <c r="C13" s="49">
        <v>1950</v>
      </c>
      <c r="D13" s="8"/>
      <c r="E13" s="8"/>
      <c r="F13" s="25">
        <v>2917.04</v>
      </c>
      <c r="G13" s="25">
        <v>55.73</v>
      </c>
      <c r="H13" s="26"/>
      <c r="I13" s="26"/>
      <c r="J13" s="27"/>
      <c r="K13" s="28">
        <f t="shared" si="1"/>
        <v>1.124923076923077</v>
      </c>
      <c r="L13" s="28">
        <f t="shared" si="12"/>
        <v>1</v>
      </c>
      <c r="M13" s="28">
        <f t="shared" si="13"/>
        <v>1</v>
      </c>
      <c r="N13" s="28">
        <f t="shared" si="2"/>
        <v>1</v>
      </c>
      <c r="O13" s="17">
        <f t="shared" si="3"/>
        <v>2193.6</v>
      </c>
      <c r="P13" s="17">
        <f t="shared" si="14"/>
        <v>1950</v>
      </c>
      <c r="Q13" s="17">
        <f t="shared" si="4"/>
        <v>1950</v>
      </c>
      <c r="R13" s="17">
        <f t="shared" si="5"/>
        <v>2193.6</v>
      </c>
      <c r="S13" s="17">
        <f t="shared" si="6"/>
        <v>1950</v>
      </c>
      <c r="T13" s="28">
        <f t="shared" si="7"/>
        <v>1.124923076923077</v>
      </c>
      <c r="U13" s="28">
        <f t="shared" si="8"/>
        <v>0.5863939839063974</v>
      </c>
      <c r="V13" s="28">
        <f t="shared" si="9"/>
        <v>0.7058726174385568</v>
      </c>
      <c r="W13" s="28">
        <f t="shared" si="10"/>
        <v>1.124923076923077</v>
      </c>
      <c r="X13" s="28">
        <f t="shared" si="11"/>
        <v>0.8307362680171406</v>
      </c>
      <c r="Y13" s="29">
        <f t="shared" si="15"/>
        <v>1.0101902214497618</v>
      </c>
    </row>
    <row r="14" spans="1:25" ht="11.25">
      <c r="A14" s="6">
        <v>9</v>
      </c>
      <c r="B14" s="7" t="s">
        <v>56</v>
      </c>
      <c r="C14" s="49">
        <v>678</v>
      </c>
      <c r="D14" s="8"/>
      <c r="E14" s="8">
        <v>678</v>
      </c>
      <c r="F14" s="25">
        <v>2917.04</v>
      </c>
      <c r="G14" s="25">
        <v>55.73</v>
      </c>
      <c r="H14" s="26">
        <v>14166.2</v>
      </c>
      <c r="I14" s="26">
        <f>F14*H14</f>
        <v>41323372.048</v>
      </c>
      <c r="J14" s="27">
        <f>'ИБР 2025'!G14*'ИБР 2025'!H14/'ИБР 2025'!$H$16</f>
        <v>7.124070114330575</v>
      </c>
      <c r="K14" s="28">
        <f t="shared" si="1"/>
        <v>2.1097345132743364</v>
      </c>
      <c r="L14" s="28">
        <f t="shared" si="12"/>
        <v>2</v>
      </c>
      <c r="M14" s="28">
        <f t="shared" si="13"/>
        <v>1</v>
      </c>
      <c r="N14" s="28">
        <f t="shared" si="2"/>
        <v>1</v>
      </c>
      <c r="O14" s="17">
        <f t="shared" si="3"/>
        <v>1430.4</v>
      </c>
      <c r="P14" s="17">
        <f t="shared" si="14"/>
        <v>1356</v>
      </c>
      <c r="Q14" s="17">
        <f t="shared" si="4"/>
        <v>678</v>
      </c>
      <c r="R14" s="17">
        <f t="shared" si="5"/>
        <v>1430.4</v>
      </c>
      <c r="S14" s="17">
        <f t="shared" si="6"/>
        <v>1356</v>
      </c>
      <c r="T14" s="28">
        <f t="shared" si="7"/>
        <v>2.1097345132743364</v>
      </c>
      <c r="U14" s="28">
        <f t="shared" si="8"/>
        <v>1.1727879678127948</v>
      </c>
      <c r="V14" s="28">
        <f t="shared" si="9"/>
        <v>0.7058726174385568</v>
      </c>
      <c r="W14" s="28">
        <f t="shared" si="10"/>
        <v>2.1097345132743364</v>
      </c>
      <c r="X14" s="28">
        <f t="shared" si="11"/>
        <v>1.6614725360342812</v>
      </c>
      <c r="Y14" s="29">
        <f t="shared" si="15"/>
        <v>1.934912342150715</v>
      </c>
    </row>
    <row r="15" spans="1:25" ht="11.25">
      <c r="A15" s="6">
        <v>10</v>
      </c>
      <c r="B15" s="7" t="s">
        <v>57</v>
      </c>
      <c r="C15" s="49">
        <v>1925</v>
      </c>
      <c r="D15" s="8"/>
      <c r="E15" s="8">
        <v>433</v>
      </c>
      <c r="F15" s="25">
        <v>2917.04</v>
      </c>
      <c r="G15" s="25">
        <v>55.73</v>
      </c>
      <c r="H15" s="26">
        <v>12853.2</v>
      </c>
      <c r="I15" s="26">
        <f>F15*H15</f>
        <v>37493298.528000005</v>
      </c>
      <c r="J15" s="27">
        <f>'ИБР 2025'!G15*'ИБР 2025'!H15/'ИБР 2025'!$H$16</f>
        <v>6.4637727826455755</v>
      </c>
      <c r="K15" s="28">
        <f t="shared" si="1"/>
        <v>1.1317402597402597</v>
      </c>
      <c r="L15" s="28">
        <f t="shared" si="12"/>
        <v>1.224935064935065</v>
      </c>
      <c r="M15" s="28">
        <f t="shared" si="13"/>
        <v>1</v>
      </c>
      <c r="N15" s="28">
        <f t="shared" si="2"/>
        <v>1</v>
      </c>
      <c r="O15" s="17">
        <f t="shared" si="3"/>
        <v>2178.6</v>
      </c>
      <c r="P15" s="17">
        <f t="shared" si="14"/>
        <v>2358</v>
      </c>
      <c r="Q15" s="17">
        <f t="shared" si="4"/>
        <v>1925</v>
      </c>
      <c r="R15" s="17">
        <f t="shared" si="5"/>
        <v>2178.6</v>
      </c>
      <c r="S15" s="17">
        <f t="shared" si="6"/>
        <v>2358</v>
      </c>
      <c r="T15" s="28">
        <f t="shared" si="7"/>
        <v>1.1317402597402597</v>
      </c>
      <c r="U15" s="28">
        <f t="shared" si="8"/>
        <v>0.7182945527539144</v>
      </c>
      <c r="V15" s="28">
        <f t="shared" si="9"/>
        <v>0.7058726174385568</v>
      </c>
      <c r="W15" s="28">
        <f t="shared" si="10"/>
        <v>1.1317402597402597</v>
      </c>
      <c r="X15" s="28">
        <f t="shared" si="11"/>
        <v>1.0175979844074896</v>
      </c>
      <c r="Y15" s="29">
        <f t="shared" si="15"/>
        <v>1.0872247723604793</v>
      </c>
    </row>
    <row r="16" spans="1:25" ht="12.75">
      <c r="A16" s="12"/>
      <c r="B16" s="13" t="s">
        <v>11</v>
      </c>
      <c r="C16" s="13">
        <f>SUM(C6:C15)</f>
        <v>25590</v>
      </c>
      <c r="D16" s="30">
        <f>SUM(D6:D15)</f>
        <v>10663</v>
      </c>
      <c r="E16" s="30">
        <f>SUM(E6:E15)</f>
        <v>5214</v>
      </c>
      <c r="F16" s="25">
        <v>2917.04</v>
      </c>
      <c r="G16" s="25">
        <v>55.73</v>
      </c>
      <c r="H16" s="31">
        <f>SUM(H6:H15)</f>
        <v>110819</v>
      </c>
      <c r="I16" s="31">
        <f>SUM(I6:I15)</f>
        <v>323263455.75999993</v>
      </c>
      <c r="J16" s="32">
        <f>SUM(J6:J15)</f>
        <v>55.730000000000004</v>
      </c>
      <c r="K16" s="29">
        <f>IF(C16&lt;&gt;0,0.6+0.4*($C$16/COUNT($A$6:$A$15))/(C16/COUNT($A$6:$A$15)),0)</f>
        <v>1</v>
      </c>
      <c r="L16" s="29">
        <f>IF(C16&lt;&gt;0,1+E16/C16,0)</f>
        <v>1.2037514654161783</v>
      </c>
      <c r="M16" s="29">
        <f>IF(C16&lt;&gt;0,1+D16/C16,0)</f>
        <v>1.4166862055490426</v>
      </c>
      <c r="N16" s="29">
        <f t="shared" si="2"/>
        <v>1</v>
      </c>
      <c r="O16" s="33">
        <f t="shared" si="3"/>
        <v>25590</v>
      </c>
      <c r="P16" s="33">
        <f t="shared" si="14"/>
        <v>43639.60187573271</v>
      </c>
      <c r="Q16" s="33">
        <f t="shared" si="4"/>
        <v>36253</v>
      </c>
      <c r="R16" s="33">
        <f t="shared" si="5"/>
        <v>25590</v>
      </c>
      <c r="S16" s="33">
        <f t="shared" si="6"/>
        <v>30804.000000000004</v>
      </c>
      <c r="T16" s="29">
        <f t="shared" si="7"/>
        <v>1</v>
      </c>
      <c r="U16" s="29">
        <f t="shared" si="8"/>
        <v>1</v>
      </c>
      <c r="V16" s="29">
        <f t="shared" si="9"/>
        <v>1</v>
      </c>
      <c r="W16" s="29">
        <f t="shared" si="10"/>
        <v>1</v>
      </c>
      <c r="X16" s="29">
        <f t="shared" si="11"/>
        <v>1</v>
      </c>
      <c r="Y16" s="29">
        <f t="shared" si="15"/>
        <v>1</v>
      </c>
    </row>
    <row r="17" spans="3:25" ht="11.2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3:25" ht="11.25"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3:25" ht="11.25"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</row>
  </sheetData>
  <sheetProtection/>
  <mergeCells count="10">
    <mergeCell ref="O3:S3"/>
    <mergeCell ref="T3:X3"/>
    <mergeCell ref="Y3:Y4"/>
    <mergeCell ref="B1:N1"/>
    <mergeCell ref="A3:A4"/>
    <mergeCell ref="B3:B4"/>
    <mergeCell ref="C3:C4"/>
    <mergeCell ref="E3:E4"/>
    <mergeCell ref="F3:G3"/>
    <mergeCell ref="K3:N3"/>
  </mergeCells>
  <printOptions horizontalCentered="1" verticalCentered="1"/>
  <pageMargins left="0.31496062992125984" right="0.1968503937007874" top="0.1968503937007874" bottom="0.1968503937007874" header="0.15748031496062992" footer="0.15748031496062992"/>
  <pageSetup fitToHeight="1" fitToWidth="1" horizontalDpi="600" verticalDpi="600" orientation="landscape" paperSize="9" scale="63" r:id="rId1"/>
  <colBreaks count="1" manualBreakCount="1">
    <brk id="14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16"/>
  <sheetViews>
    <sheetView zoomScaleSheetLayoutView="100" zoomScalePageLayoutView="0" workbookViewId="0" topLeftCell="A1">
      <pane xSplit="2" ySplit="5" topLeftCell="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6" sqref="U6:U15"/>
    </sheetView>
  </sheetViews>
  <sheetFormatPr defaultColWidth="8.00390625" defaultRowHeight="12.75"/>
  <cols>
    <col min="1" max="1" width="3.25390625" style="1" customWidth="1"/>
    <col min="2" max="2" width="22.125" style="1" customWidth="1"/>
    <col min="3" max="3" width="10.875" style="1" customWidth="1"/>
    <col min="4" max="24" width="12.00390625" style="1" customWidth="1"/>
    <col min="25" max="16384" width="8.00390625" style="1" customWidth="1"/>
  </cols>
  <sheetData>
    <row r="1" spans="3:24" ht="27" customHeight="1">
      <c r="C1" s="58" t="s">
        <v>68</v>
      </c>
      <c r="D1" s="58"/>
      <c r="E1" s="58"/>
      <c r="F1" s="58"/>
      <c r="G1" s="58"/>
      <c r="H1" s="58"/>
      <c r="I1" s="58"/>
      <c r="J1" s="58"/>
      <c r="K1" s="58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3" spans="1:24" ht="30.75" customHeight="1">
      <c r="A3" s="69" t="s">
        <v>0</v>
      </c>
      <c r="B3" s="69" t="s">
        <v>1</v>
      </c>
      <c r="C3" s="71" t="s">
        <v>2</v>
      </c>
      <c r="D3" s="69" t="s">
        <v>3</v>
      </c>
      <c r="E3" s="69"/>
      <c r="F3" s="69"/>
      <c r="G3" s="69"/>
      <c r="H3" s="69" t="s">
        <v>4</v>
      </c>
      <c r="I3" s="69"/>
      <c r="J3" s="69"/>
      <c r="K3" s="69"/>
      <c r="L3" s="69" t="s">
        <v>5</v>
      </c>
      <c r="M3" s="69"/>
      <c r="N3" s="69"/>
      <c r="O3" s="69"/>
      <c r="P3" s="69" t="s">
        <v>6</v>
      </c>
      <c r="Q3" s="69"/>
      <c r="R3" s="69"/>
      <c r="S3" s="69"/>
      <c r="T3" s="70" t="s">
        <v>7</v>
      </c>
      <c r="U3" s="70" t="s">
        <v>44</v>
      </c>
      <c r="V3" s="70" t="s">
        <v>45</v>
      </c>
      <c r="W3" s="70" t="s">
        <v>46</v>
      </c>
      <c r="X3" s="70" t="s">
        <v>47</v>
      </c>
    </row>
    <row r="4" spans="1:24" ht="90" customHeight="1">
      <c r="A4" s="69"/>
      <c r="B4" s="69"/>
      <c r="C4" s="71"/>
      <c r="D4" s="3" t="s">
        <v>8</v>
      </c>
      <c r="E4" s="46" t="s">
        <v>61</v>
      </c>
      <c r="F4" s="3" t="s">
        <v>9</v>
      </c>
      <c r="G4" s="3" t="str">
        <f>"Налоговый потенциал по репрезента-тивной налоговой ставке  "&amp;FIXED(F16,6)&amp;", контингент"</f>
        <v>Налоговый потенциал по репрезента-тивной налоговой ставке  0,130000, контингент</v>
      </c>
      <c r="H4" s="3" t="s">
        <v>12</v>
      </c>
      <c r="I4" s="46" t="s">
        <v>62</v>
      </c>
      <c r="J4" s="3" t="s">
        <v>9</v>
      </c>
      <c r="K4" s="3" t="str">
        <f>"Налоговый потенциал по репрезента-тивной налоговой ставке  "&amp;FIXED(J16,6)&amp;", контингент"</f>
        <v>Налоговый потенциал по репрезента-тивной налоговой ставке  0,003000, контингент</v>
      </c>
      <c r="L4" s="3" t="s">
        <v>12</v>
      </c>
      <c r="M4" s="46" t="s">
        <v>62</v>
      </c>
      <c r="N4" s="3" t="s">
        <v>9</v>
      </c>
      <c r="O4" s="3" t="str">
        <f>"Налоговый потенциал по репрезента-тивной налоговой ставке  "&amp;FIXED(N16,6)&amp;", контингент"</f>
        <v>Налоговый потенциал по репрезента-тивной налоговой ставке  0,003000, контингент</v>
      </c>
      <c r="P4" s="3" t="s">
        <v>12</v>
      </c>
      <c r="Q4" s="46" t="s">
        <v>63</v>
      </c>
      <c r="R4" s="3" t="s">
        <v>9</v>
      </c>
      <c r="S4" s="3" t="str">
        <f>"Налоговый потенциал по репрезента-тивной налоговой ставке  "&amp;FIXED(R16,6)&amp;", контингент"</f>
        <v>Налоговый потенциал по репрезента-тивной налоговой ставке  0,030186, контингент</v>
      </c>
      <c r="T4" s="70"/>
      <c r="U4" s="70"/>
      <c r="V4" s="70"/>
      <c r="W4" s="70"/>
      <c r="X4" s="70"/>
    </row>
    <row r="5" spans="1:24" s="5" customFormat="1" ht="11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2.75">
      <c r="A6" s="6">
        <v>1</v>
      </c>
      <c r="B6" s="7" t="s">
        <v>48</v>
      </c>
      <c r="C6" s="49">
        <v>8903</v>
      </c>
      <c r="D6" s="57">
        <v>1420168.5</v>
      </c>
      <c r="E6" s="57"/>
      <c r="F6" s="10" t="s">
        <v>10</v>
      </c>
      <c r="G6" s="11">
        <f aca="true" t="shared" si="0" ref="G6:G15">D6*$F$16*0.1</f>
        <v>18462.19096356691</v>
      </c>
      <c r="H6" s="57">
        <v>2395333.3</v>
      </c>
      <c r="I6" s="57">
        <v>7186</v>
      </c>
      <c r="J6" s="10" t="s">
        <v>10</v>
      </c>
      <c r="K6" s="11">
        <f aca="true" t="shared" si="1" ref="K6:K15">H6*$J$16</f>
        <v>7186.000530552057</v>
      </c>
      <c r="L6" s="57">
        <v>1487666.7</v>
      </c>
      <c r="M6" s="57">
        <v>4463</v>
      </c>
      <c r="N6" s="10" t="s">
        <v>10</v>
      </c>
      <c r="O6" s="11">
        <f aca="true" t="shared" si="2" ref="O6:O15">L6*$N$16</f>
        <v>4463.000077196199</v>
      </c>
      <c r="P6" s="57">
        <v>38333.3</v>
      </c>
      <c r="Q6" s="57">
        <v>1150</v>
      </c>
      <c r="R6" s="10" t="s">
        <v>10</v>
      </c>
      <c r="S6" s="11">
        <f aca="true" t="shared" si="3" ref="S6:S15">P6*$R$16</f>
        <v>1157.1351259468483</v>
      </c>
      <c r="T6" s="11">
        <f aca="true" t="shared" si="4" ref="T6:T16">S6+O6+K6+G6</f>
        <v>31268.326697262015</v>
      </c>
      <c r="U6" s="45">
        <v>595.8</v>
      </c>
      <c r="V6" s="11">
        <f>T6+U6</f>
        <v>31864.126697262014</v>
      </c>
      <c r="W6" s="11">
        <f>IF(C6&lt;&gt;0,V6/C6,0)</f>
        <v>3.57903253928586</v>
      </c>
      <c r="X6" s="36">
        <f aca="true" t="shared" si="5" ref="X6:X16">IF($W$16&lt;&gt;0,W6/$W$16,0)</f>
        <v>1.149783653864721</v>
      </c>
    </row>
    <row r="7" spans="1:24" ht="12.75">
      <c r="A7" s="6">
        <v>2</v>
      </c>
      <c r="B7" s="7" t="s">
        <v>49</v>
      </c>
      <c r="C7" s="49">
        <v>4527</v>
      </c>
      <c r="D7" s="57">
        <v>487764.5</v>
      </c>
      <c r="E7" s="57"/>
      <c r="F7" s="10" t="s">
        <v>10</v>
      </c>
      <c r="G7" s="11">
        <f t="shared" si="0"/>
        <v>6340.9386592145465</v>
      </c>
      <c r="H7" s="57">
        <v>145333.3</v>
      </c>
      <c r="I7" s="57">
        <v>436</v>
      </c>
      <c r="J7" s="10" t="s">
        <v>10</v>
      </c>
      <c r="K7" s="11">
        <f t="shared" si="1"/>
        <v>435.9999382578121</v>
      </c>
      <c r="L7" s="57">
        <v>547433.3</v>
      </c>
      <c r="M7" s="57">
        <v>1642.3</v>
      </c>
      <c r="N7" s="10" t="s">
        <v>10</v>
      </c>
      <c r="O7" s="11">
        <f t="shared" si="2"/>
        <v>1642.2998916086312</v>
      </c>
      <c r="P7" s="57">
        <v>43666.7</v>
      </c>
      <c r="Q7" s="57">
        <v>1310</v>
      </c>
      <c r="R7" s="10" t="s">
        <v>10</v>
      </c>
      <c r="S7" s="11">
        <f t="shared" si="3"/>
        <v>1318.1299915265117</v>
      </c>
      <c r="T7" s="11">
        <f t="shared" si="4"/>
        <v>9737.368480607502</v>
      </c>
      <c r="U7" s="45">
        <v>303</v>
      </c>
      <c r="V7" s="11">
        <f aca="true" t="shared" si="6" ref="V7:V15">T7+U7</f>
        <v>10040.368480607502</v>
      </c>
      <c r="W7" s="11">
        <f aca="true" t="shared" si="7" ref="W7:W16">IF(C7&lt;&gt;0,V7/C7,0)</f>
        <v>2.2178856816009502</v>
      </c>
      <c r="X7" s="36">
        <f t="shared" si="5"/>
        <v>0.712507828541346</v>
      </c>
    </row>
    <row r="8" spans="1:24" ht="12.75">
      <c r="A8" s="6">
        <v>3</v>
      </c>
      <c r="B8" s="7" t="s">
        <v>50</v>
      </c>
      <c r="C8" s="49">
        <v>2444</v>
      </c>
      <c r="D8" s="57">
        <v>263330.3</v>
      </c>
      <c r="E8" s="57"/>
      <c r="F8" s="10" t="s">
        <v>10</v>
      </c>
      <c r="G8" s="11">
        <f t="shared" si="0"/>
        <v>3423.2939859554444</v>
      </c>
      <c r="H8" s="57">
        <v>448333.3</v>
      </c>
      <c r="I8" s="57">
        <v>1345</v>
      </c>
      <c r="J8" s="10" t="s">
        <v>10</v>
      </c>
      <c r="K8" s="11">
        <f t="shared" si="1"/>
        <v>1345.0000180201039</v>
      </c>
      <c r="L8" s="57">
        <v>948000</v>
      </c>
      <c r="M8" s="57">
        <v>2844</v>
      </c>
      <c r="N8" s="10" t="s">
        <v>10</v>
      </c>
      <c r="O8" s="11">
        <f t="shared" si="2"/>
        <v>2843.999985468517</v>
      </c>
      <c r="P8" s="57">
        <v>53393.3</v>
      </c>
      <c r="Q8" s="57">
        <v>1601.8</v>
      </c>
      <c r="R8" s="10" t="s">
        <v>10</v>
      </c>
      <c r="S8" s="11">
        <f t="shared" si="3"/>
        <v>1611.7386950828093</v>
      </c>
      <c r="T8" s="11">
        <f t="shared" si="4"/>
        <v>9224.032684526876</v>
      </c>
      <c r="U8" s="45">
        <v>163.6</v>
      </c>
      <c r="V8" s="11">
        <f t="shared" si="6"/>
        <v>9387.632684526876</v>
      </c>
      <c r="W8" s="11">
        <f t="shared" si="7"/>
        <v>3.841093569773681</v>
      </c>
      <c r="X8" s="36">
        <f t="shared" si="5"/>
        <v>1.2339721841064615</v>
      </c>
    </row>
    <row r="9" spans="1:24" ht="12.75">
      <c r="A9" s="6">
        <v>4</v>
      </c>
      <c r="B9" s="7" t="s">
        <v>51</v>
      </c>
      <c r="C9" s="49">
        <v>689</v>
      </c>
      <c r="D9" s="57">
        <v>74236.7</v>
      </c>
      <c r="E9" s="57"/>
      <c r="F9" s="10" t="s">
        <v>10</v>
      </c>
      <c r="G9" s="11">
        <f t="shared" si="0"/>
        <v>965.0771242321089</v>
      </c>
      <c r="H9" s="57">
        <v>394000</v>
      </c>
      <c r="I9" s="57">
        <v>1182</v>
      </c>
      <c r="J9" s="10" t="s">
        <v>10</v>
      </c>
      <c r="K9" s="11">
        <f t="shared" si="1"/>
        <v>1182.0001037173035</v>
      </c>
      <c r="L9" s="57">
        <v>1054166.7</v>
      </c>
      <c r="M9" s="57">
        <v>3162.5</v>
      </c>
      <c r="N9" s="10" t="s">
        <v>10</v>
      </c>
      <c r="O9" s="11">
        <f t="shared" si="2"/>
        <v>3162.5000838411333</v>
      </c>
      <c r="P9" s="57">
        <v>42333.3</v>
      </c>
      <c r="Q9" s="57">
        <v>1270</v>
      </c>
      <c r="R9" s="10" t="s">
        <v>10</v>
      </c>
      <c r="S9" s="11">
        <f t="shared" si="3"/>
        <v>1277.8797658235976</v>
      </c>
      <c r="T9" s="11">
        <f t="shared" si="4"/>
        <v>6587.457077614143</v>
      </c>
      <c r="U9" s="45">
        <v>46.1</v>
      </c>
      <c r="V9" s="11">
        <f t="shared" si="6"/>
        <v>6633.557077614143</v>
      </c>
      <c r="W9" s="11">
        <f t="shared" si="7"/>
        <v>9.62780417650819</v>
      </c>
      <c r="X9" s="36">
        <f t="shared" si="5"/>
        <v>3.092984414991777</v>
      </c>
    </row>
    <row r="10" spans="1:24" ht="12.75">
      <c r="A10" s="6">
        <v>5</v>
      </c>
      <c r="B10" s="7" t="s">
        <v>52</v>
      </c>
      <c r="C10" s="49">
        <v>1914</v>
      </c>
      <c r="D10" s="57">
        <v>80115</v>
      </c>
      <c r="E10" s="57"/>
      <c r="F10" s="10" t="s">
        <v>10</v>
      </c>
      <c r="G10" s="11">
        <f t="shared" si="0"/>
        <v>1041.495026150885</v>
      </c>
      <c r="H10" s="57">
        <v>64333.3</v>
      </c>
      <c r="I10" s="57">
        <v>193</v>
      </c>
      <c r="J10" s="10" t="s">
        <v>10</v>
      </c>
      <c r="K10" s="11">
        <f t="shared" si="1"/>
        <v>192.99991693521932</v>
      </c>
      <c r="L10" s="57">
        <v>281133.3</v>
      </c>
      <c r="M10" s="57">
        <v>843.4</v>
      </c>
      <c r="N10" s="10" t="s">
        <v>10</v>
      </c>
      <c r="O10" s="11">
        <f t="shared" si="2"/>
        <v>843.3998956906289</v>
      </c>
      <c r="P10" s="57">
        <v>5200</v>
      </c>
      <c r="Q10" s="57">
        <v>156</v>
      </c>
      <c r="R10" s="10" t="s">
        <v>10</v>
      </c>
      <c r="S10" s="11">
        <f t="shared" si="3"/>
        <v>156.96803183977406</v>
      </c>
      <c r="T10" s="11">
        <f t="shared" si="4"/>
        <v>2234.8628706165073</v>
      </c>
      <c r="U10" s="45">
        <v>128.1</v>
      </c>
      <c r="V10" s="11">
        <f t="shared" si="6"/>
        <v>2362.962870616507</v>
      </c>
      <c r="W10" s="11">
        <f t="shared" si="7"/>
        <v>1.2345678529866808</v>
      </c>
      <c r="X10" s="36">
        <f t="shared" si="5"/>
        <v>0.39661163215749523</v>
      </c>
    </row>
    <row r="11" spans="1:24" ht="12.75">
      <c r="A11" s="6">
        <v>6</v>
      </c>
      <c r="B11" s="7" t="s">
        <v>53</v>
      </c>
      <c r="C11" s="49">
        <v>1717</v>
      </c>
      <c r="D11" s="57">
        <v>184999.2</v>
      </c>
      <c r="E11" s="57"/>
      <c r="F11" s="10" t="s">
        <v>10</v>
      </c>
      <c r="G11" s="11">
        <f t="shared" si="0"/>
        <v>2404.989660386854</v>
      </c>
      <c r="H11" s="57">
        <v>156666.6</v>
      </c>
      <c r="I11" s="57">
        <v>470</v>
      </c>
      <c r="J11" s="10" t="s">
        <v>10</v>
      </c>
      <c r="K11" s="11">
        <f t="shared" si="1"/>
        <v>469.99984124121147</v>
      </c>
      <c r="L11" s="57">
        <v>794333.3</v>
      </c>
      <c r="M11" s="57">
        <v>2383</v>
      </c>
      <c r="N11" s="10" t="s">
        <v>10</v>
      </c>
      <c r="O11" s="11">
        <f t="shared" si="2"/>
        <v>2382.9998878240076</v>
      </c>
      <c r="P11" s="57">
        <v>115506.6</v>
      </c>
      <c r="Q11" s="57">
        <v>3465.2</v>
      </c>
      <c r="R11" s="10" t="s">
        <v>10</v>
      </c>
      <c r="S11" s="11">
        <f t="shared" si="3"/>
        <v>3486.700705096932</v>
      </c>
      <c r="T11" s="11">
        <f t="shared" si="4"/>
        <v>8744.690094549005</v>
      </c>
      <c r="U11" s="45">
        <v>114.9</v>
      </c>
      <c r="V11" s="11">
        <f t="shared" si="6"/>
        <v>8859.590094549005</v>
      </c>
      <c r="W11" s="11">
        <f t="shared" si="7"/>
        <v>5.159924341612699</v>
      </c>
      <c r="X11" s="36">
        <f t="shared" si="5"/>
        <v>1.6576537368807385</v>
      </c>
    </row>
    <row r="12" spans="1:24" ht="12.75">
      <c r="A12" s="6">
        <v>7</v>
      </c>
      <c r="B12" s="7" t="s">
        <v>54</v>
      </c>
      <c r="C12" s="49">
        <v>843</v>
      </c>
      <c r="D12" s="57">
        <v>23900</v>
      </c>
      <c r="E12" s="57"/>
      <c r="F12" s="10" t="s">
        <v>10</v>
      </c>
      <c r="G12" s="11">
        <f t="shared" si="0"/>
        <v>310.70000780136246</v>
      </c>
      <c r="H12" s="57">
        <v>99333.3</v>
      </c>
      <c r="I12" s="57">
        <v>298</v>
      </c>
      <c r="J12" s="10" t="s">
        <v>10</v>
      </c>
      <c r="K12" s="11">
        <f t="shared" si="1"/>
        <v>297.99992614868535</v>
      </c>
      <c r="L12" s="57">
        <v>370566.7</v>
      </c>
      <c r="M12" s="57">
        <v>1111.7</v>
      </c>
      <c r="N12" s="10" t="s">
        <v>10</v>
      </c>
      <c r="O12" s="11">
        <f t="shared" si="2"/>
        <v>1111.700094319743</v>
      </c>
      <c r="P12" s="57">
        <v>6</v>
      </c>
      <c r="Q12" s="57">
        <v>1.8</v>
      </c>
      <c r="R12" s="10" t="s">
        <v>10</v>
      </c>
      <c r="S12" s="11">
        <f t="shared" si="3"/>
        <v>0.1811169598151239</v>
      </c>
      <c r="T12" s="11">
        <f t="shared" si="4"/>
        <v>1720.581145229606</v>
      </c>
      <c r="U12" s="45">
        <v>56.4</v>
      </c>
      <c r="V12" s="11">
        <f t="shared" si="6"/>
        <v>1776.981145229606</v>
      </c>
      <c r="W12" s="11">
        <f t="shared" si="7"/>
        <v>2.1079254391810274</v>
      </c>
      <c r="X12" s="36">
        <f t="shared" si="5"/>
        <v>0.677182503073739</v>
      </c>
    </row>
    <row r="13" spans="1:24" ht="12.75">
      <c r="A13" s="6">
        <v>8</v>
      </c>
      <c r="B13" s="7" t="s">
        <v>55</v>
      </c>
      <c r="C13" s="49">
        <v>1950</v>
      </c>
      <c r="D13" s="57">
        <v>82530</v>
      </c>
      <c r="E13" s="57"/>
      <c r="F13" s="10" t="s">
        <v>10</v>
      </c>
      <c r="G13" s="11">
        <f t="shared" si="0"/>
        <v>1072.8900269391818</v>
      </c>
      <c r="H13" s="57">
        <v>253000</v>
      </c>
      <c r="I13" s="57">
        <v>759</v>
      </c>
      <c r="J13" s="10" t="s">
        <v>10</v>
      </c>
      <c r="K13" s="11">
        <f t="shared" si="1"/>
        <v>759.0000666001974</v>
      </c>
      <c r="L13" s="57">
        <v>646766.7</v>
      </c>
      <c r="M13" s="57">
        <v>1940.3</v>
      </c>
      <c r="N13" s="10" t="s">
        <v>10</v>
      </c>
      <c r="O13" s="11">
        <f t="shared" si="2"/>
        <v>1940.300090085992</v>
      </c>
      <c r="P13" s="57">
        <v>31166.7</v>
      </c>
      <c r="Q13" s="57">
        <v>995</v>
      </c>
      <c r="R13" s="10" t="s">
        <v>10</v>
      </c>
      <c r="S13" s="11">
        <f t="shared" si="3"/>
        <v>940.8029919116703</v>
      </c>
      <c r="T13" s="11">
        <f t="shared" si="4"/>
        <v>4712.993175537042</v>
      </c>
      <c r="U13" s="45">
        <v>130.5</v>
      </c>
      <c r="V13" s="11">
        <f t="shared" si="6"/>
        <v>4843.493175537042</v>
      </c>
      <c r="W13" s="11">
        <f t="shared" si="7"/>
        <v>2.4838426541215597</v>
      </c>
      <c r="X13" s="36">
        <f t="shared" si="5"/>
        <v>0.7979479513340161</v>
      </c>
    </row>
    <row r="14" spans="1:24" ht="12.75">
      <c r="A14" s="6">
        <v>9</v>
      </c>
      <c r="B14" s="7" t="s">
        <v>56</v>
      </c>
      <c r="C14" s="49">
        <v>678</v>
      </c>
      <c r="D14" s="57">
        <v>73051.5</v>
      </c>
      <c r="E14" s="57"/>
      <c r="F14" s="10" t="s">
        <v>10</v>
      </c>
      <c r="G14" s="11">
        <f t="shared" si="0"/>
        <v>949.6695238452398</v>
      </c>
      <c r="H14" s="57">
        <v>55666.6</v>
      </c>
      <c r="I14" s="57">
        <v>167</v>
      </c>
      <c r="J14" s="10" t="s">
        <v>10</v>
      </c>
      <c r="K14" s="11">
        <f t="shared" si="1"/>
        <v>166.99981465378082</v>
      </c>
      <c r="L14" s="57">
        <v>121666.7</v>
      </c>
      <c r="M14" s="57">
        <v>365</v>
      </c>
      <c r="N14" s="10" t="s">
        <v>10</v>
      </c>
      <c r="O14" s="11">
        <f t="shared" si="2"/>
        <v>365.0000981350236</v>
      </c>
      <c r="P14" s="57">
        <v>393.3</v>
      </c>
      <c r="Q14" s="57">
        <v>11.8</v>
      </c>
      <c r="R14" s="10" t="s">
        <v>10</v>
      </c>
      <c r="S14" s="11">
        <f t="shared" si="3"/>
        <v>11.872216715881372</v>
      </c>
      <c r="T14" s="11">
        <f t="shared" si="4"/>
        <v>1493.5416533499256</v>
      </c>
      <c r="U14" s="45">
        <v>45.4</v>
      </c>
      <c r="V14" s="11">
        <f t="shared" si="6"/>
        <v>1538.9416533499257</v>
      </c>
      <c r="W14" s="11">
        <f t="shared" si="7"/>
        <v>2.2698254474187696</v>
      </c>
      <c r="X14" s="36">
        <f t="shared" si="5"/>
        <v>0.729193760582301</v>
      </c>
    </row>
    <row r="15" spans="1:24" ht="12.75">
      <c r="A15" s="6">
        <v>10</v>
      </c>
      <c r="B15" s="7" t="s">
        <v>57</v>
      </c>
      <c r="C15" s="49">
        <v>1925</v>
      </c>
      <c r="D15" s="57">
        <v>67115</v>
      </c>
      <c r="E15" s="57"/>
      <c r="F15" s="10" t="s">
        <v>10</v>
      </c>
      <c r="G15" s="11">
        <f t="shared" si="0"/>
        <v>872.4950219074661</v>
      </c>
      <c r="H15" s="57">
        <v>166666.6</v>
      </c>
      <c r="I15" s="57">
        <v>500</v>
      </c>
      <c r="J15" s="10" t="s">
        <v>10</v>
      </c>
      <c r="K15" s="11">
        <f t="shared" si="1"/>
        <v>499.9998438736303</v>
      </c>
      <c r="L15" s="57">
        <v>272033.3</v>
      </c>
      <c r="M15" s="57">
        <v>816.1</v>
      </c>
      <c r="N15" s="10" t="s">
        <v>10</v>
      </c>
      <c r="O15" s="11">
        <f t="shared" si="2"/>
        <v>816.0998958301188</v>
      </c>
      <c r="P15" s="57">
        <v>1033.3</v>
      </c>
      <c r="Q15" s="57">
        <v>31</v>
      </c>
      <c r="R15" s="10" t="s">
        <v>10</v>
      </c>
      <c r="S15" s="11">
        <f t="shared" si="3"/>
        <v>31.191359096161253</v>
      </c>
      <c r="T15" s="11">
        <f t="shared" si="4"/>
        <v>2219.7861207073765</v>
      </c>
      <c r="U15" s="45">
        <v>128.8</v>
      </c>
      <c r="V15" s="11">
        <f t="shared" si="6"/>
        <v>2348.5861207073767</v>
      </c>
      <c r="W15" s="11">
        <f t="shared" si="7"/>
        <v>1.220044738029806</v>
      </c>
      <c r="X15" s="36">
        <f t="shared" si="5"/>
        <v>0.39194600255024253</v>
      </c>
    </row>
    <row r="16" spans="1:24" ht="12.75">
      <c r="A16" s="12"/>
      <c r="B16" s="13" t="s">
        <v>11</v>
      </c>
      <c r="C16" s="13">
        <f>SUM(C6:C15)</f>
        <v>25590</v>
      </c>
      <c r="D16" s="14">
        <f>SUM(D6:D15)</f>
        <v>2757210.7</v>
      </c>
      <c r="E16" s="14">
        <v>358437.4</v>
      </c>
      <c r="F16" s="13">
        <f>IF(D16&lt;&gt;0,E16/D16,0)</f>
        <v>0.13000000326416838</v>
      </c>
      <c r="G16" s="14">
        <f>SUM(G6:G15)</f>
        <v>35843.74</v>
      </c>
      <c r="H16" s="14">
        <f>SUM(H6:H15)</f>
        <v>4178666.2999999993</v>
      </c>
      <c r="I16" s="14">
        <f>SUM(I6:I15)</f>
        <v>12536</v>
      </c>
      <c r="J16" s="13">
        <f>IF(H16&lt;&gt;0,I16/H16,0)</f>
        <v>0.003000000263241887</v>
      </c>
      <c r="K16" s="14">
        <f>SUM(K6:K15)</f>
        <v>12536.000000000002</v>
      </c>
      <c r="L16" s="14">
        <f>SUM(L6:L15)</f>
        <v>6523766.7</v>
      </c>
      <c r="M16" s="14">
        <f>SUM(M6:M15)</f>
        <v>19571.299999999996</v>
      </c>
      <c r="N16" s="13">
        <f>IF(L16&lt;&gt;0,M16/L16,0)</f>
        <v>0.0029999999846714314</v>
      </c>
      <c r="O16" s="14">
        <f>SUM(O6:O15)</f>
        <v>19571.299999999996</v>
      </c>
      <c r="P16" s="14">
        <f>P6+P7+P8+P9+P10+P11+P12+P13++P14+P15</f>
        <v>331032.49999999994</v>
      </c>
      <c r="Q16" s="14">
        <f>SUM(Q6:Q15)</f>
        <v>9992.599999999999</v>
      </c>
      <c r="R16" s="13">
        <f>IF(P16&lt;&gt;0,Q16/P16,0)</f>
        <v>0.030186159969187318</v>
      </c>
      <c r="S16" s="14">
        <f>SUM(S6:S15)</f>
        <v>9992.600000000002</v>
      </c>
      <c r="T16" s="14">
        <f t="shared" si="4"/>
        <v>77943.64</v>
      </c>
      <c r="U16" s="14">
        <f>SUM(U6:U15)</f>
        <v>1712.6</v>
      </c>
      <c r="V16" s="14">
        <f>U16+T16</f>
        <v>79656.24</v>
      </c>
      <c r="W16" s="42">
        <f t="shared" si="7"/>
        <v>3.112787807737398</v>
      </c>
      <c r="X16" s="14">
        <f t="shared" si="5"/>
        <v>1</v>
      </c>
    </row>
  </sheetData>
  <sheetProtection/>
  <mergeCells count="13">
    <mergeCell ref="C1:K1"/>
    <mergeCell ref="A3:A4"/>
    <mergeCell ref="B3:B4"/>
    <mergeCell ref="C3:C4"/>
    <mergeCell ref="D3:G3"/>
    <mergeCell ref="H3:K3"/>
    <mergeCell ref="X3:X4"/>
    <mergeCell ref="L3:O3"/>
    <mergeCell ref="P3:S3"/>
    <mergeCell ref="T3:T4"/>
    <mergeCell ref="U3:U4"/>
    <mergeCell ref="V3:V4"/>
    <mergeCell ref="W3:W4"/>
  </mergeCells>
  <printOptions horizontalCentered="1" verticalCentered="1"/>
  <pageMargins left="0.31496062992125984" right="0.1968503937007874" top="0.1968503937007874" bottom="0.1968503937007874" header="0.15748031496062992" footer="0.15748031496062992"/>
  <pageSetup horizontalDpi="600" verticalDpi="600" orientation="landscape" paperSize="9" scale="70" r:id="rId1"/>
  <colBreaks count="1" manualBreakCount="1">
    <brk id="15" max="2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21"/>
  <sheetViews>
    <sheetView zoomScaleSheetLayoutView="11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28" sqref="K28"/>
    </sheetView>
  </sheetViews>
  <sheetFormatPr defaultColWidth="8.00390625" defaultRowHeight="12.75"/>
  <cols>
    <col min="1" max="1" width="3.25390625" style="1" customWidth="1"/>
    <col min="2" max="2" width="22.125" style="1" customWidth="1"/>
    <col min="3" max="7" width="10.875" style="1" customWidth="1"/>
    <col min="8" max="8" width="9.875" style="1" customWidth="1"/>
    <col min="9" max="9" width="12.125" style="1" customWidth="1"/>
    <col min="10" max="10" width="10.625" style="1" customWidth="1"/>
    <col min="11" max="11" width="10.125" style="1" customWidth="1"/>
    <col min="12" max="12" width="9.25390625" style="1" customWidth="1"/>
    <col min="13" max="13" width="8.00390625" style="1" customWidth="1"/>
    <col min="14" max="14" width="11.00390625" style="1" customWidth="1"/>
    <col min="15" max="16384" width="8.00390625" style="1" customWidth="1"/>
  </cols>
  <sheetData>
    <row r="1" spans="3:8" ht="27" customHeight="1">
      <c r="C1" s="58" t="s">
        <v>69</v>
      </c>
      <c r="D1" s="58"/>
      <c r="E1" s="58"/>
      <c r="F1" s="58"/>
      <c r="G1" s="58"/>
      <c r="H1" s="58"/>
    </row>
    <row r="2" ht="12"/>
    <row r="3" spans="1:12" ht="30.75" customHeight="1">
      <c r="A3" s="69" t="s">
        <v>0</v>
      </c>
      <c r="B3" s="69" t="s">
        <v>1</v>
      </c>
      <c r="C3" s="71" t="s">
        <v>2</v>
      </c>
      <c r="D3" s="70" t="s">
        <v>47</v>
      </c>
      <c r="E3" s="65" t="s">
        <v>18</v>
      </c>
      <c r="F3" s="65" t="s">
        <v>14</v>
      </c>
      <c r="G3" s="65" t="s">
        <v>15</v>
      </c>
      <c r="H3" s="65" t="s">
        <v>17</v>
      </c>
      <c r="I3" s="59" t="s">
        <v>42</v>
      </c>
      <c r="J3" s="59" t="s">
        <v>40</v>
      </c>
      <c r="K3" s="65" t="s">
        <v>43</v>
      </c>
      <c r="L3" s="59" t="s">
        <v>41</v>
      </c>
    </row>
    <row r="4" spans="1:14" ht="90" customHeight="1">
      <c r="A4" s="69"/>
      <c r="B4" s="69"/>
      <c r="C4" s="71"/>
      <c r="D4" s="70"/>
      <c r="E4" s="66"/>
      <c r="F4" s="66"/>
      <c r="G4" s="66"/>
      <c r="H4" s="66"/>
      <c r="I4" s="59"/>
      <c r="J4" s="59"/>
      <c r="K4" s="66"/>
      <c r="L4" s="59"/>
      <c r="N4" s="48"/>
    </row>
    <row r="5" spans="1:12" s="5" customFormat="1" ht="12">
      <c r="A5" s="4"/>
      <c r="B5" s="4"/>
      <c r="C5" s="4"/>
      <c r="D5" s="4"/>
      <c r="E5" s="4"/>
      <c r="F5" s="4"/>
      <c r="G5" s="16">
        <v>0.5</v>
      </c>
      <c r="H5" s="16">
        <v>4891.6</v>
      </c>
      <c r="I5" s="4"/>
      <c r="J5" s="4"/>
      <c r="K5" s="4"/>
      <c r="L5" s="4"/>
    </row>
    <row r="6" spans="1:17" ht="12.75">
      <c r="A6" s="6">
        <v>1</v>
      </c>
      <c r="B6" s="7" t="s">
        <v>48</v>
      </c>
      <c r="C6" s="49">
        <v>8903</v>
      </c>
      <c r="D6" s="28">
        <f>'ИНП 2024'!X6</f>
        <v>1.1424114856481409</v>
      </c>
      <c r="E6" s="28">
        <f>'ИБР 2024'!Y6</f>
        <v>0.7601203580502163</v>
      </c>
      <c r="F6" s="36">
        <f>IF(E6&lt;&gt;0,D6/E6,0)</f>
        <v>1.5029349938456313</v>
      </c>
      <c r="G6" s="17">
        <f aca="true" t="shared" si="0" ref="G6:G15">IF(F6&lt;$G$5,($G$5-F6)*E6*$G$18*C6/$C$16,0)</f>
        <v>0</v>
      </c>
      <c r="H6" s="17">
        <f aca="true" t="shared" si="1" ref="H6:H16">IF($G$16&lt;&gt;0,ROUND(G6/$G$16*$H$5,1),0)</f>
        <v>0</v>
      </c>
      <c r="I6" s="47">
        <f>45460.9+M6</f>
        <v>46056.700000000004</v>
      </c>
      <c r="J6" s="40">
        <f>I6+H6</f>
        <v>46056.700000000004</v>
      </c>
      <c r="K6" s="41">
        <v>24034.1</v>
      </c>
      <c r="L6" s="40">
        <f>J6-K6</f>
        <v>22022.600000000006</v>
      </c>
      <c r="M6" s="45">
        <v>595.8</v>
      </c>
      <c r="N6" s="50"/>
      <c r="P6" s="54"/>
      <c r="Q6" s="44"/>
    </row>
    <row r="7" spans="1:17" ht="14.25">
      <c r="A7" s="6">
        <v>2</v>
      </c>
      <c r="B7" s="7" t="s">
        <v>49</v>
      </c>
      <c r="C7" s="49">
        <v>4527</v>
      </c>
      <c r="D7" s="28">
        <f>'ИНП 2024'!X7</f>
        <v>0.6582754657059638</v>
      </c>
      <c r="E7" s="28">
        <f>'ИБР 2024'!Y7</f>
        <v>0.8999829595340566</v>
      </c>
      <c r="F7" s="36">
        <f aca="true" t="shared" si="2" ref="F7:F16">IF(E7&lt;&gt;0,D7/E7,0)</f>
        <v>0.731431032923967</v>
      </c>
      <c r="G7" s="17">
        <f t="shared" si="0"/>
        <v>0</v>
      </c>
      <c r="H7" s="17">
        <f t="shared" si="1"/>
        <v>0</v>
      </c>
      <c r="I7" s="47">
        <f>18625+M7</f>
        <v>18928</v>
      </c>
      <c r="J7" s="40">
        <f aca="true" t="shared" si="3" ref="J7:J16">I7+H7</f>
        <v>18928</v>
      </c>
      <c r="K7" s="41">
        <v>13312.1</v>
      </c>
      <c r="L7" s="40">
        <f aca="true" t="shared" si="4" ref="L7:L16">J7-K7</f>
        <v>5615.9</v>
      </c>
      <c r="M7" s="45">
        <v>303</v>
      </c>
      <c r="N7" s="51"/>
      <c r="P7" s="54"/>
      <c r="Q7" s="44"/>
    </row>
    <row r="8" spans="1:17" ht="14.25">
      <c r="A8" s="6">
        <v>3</v>
      </c>
      <c r="B8" s="7" t="s">
        <v>50</v>
      </c>
      <c r="C8" s="49">
        <v>2444</v>
      </c>
      <c r="D8" s="28">
        <f>'ИНП 2024'!X8</f>
        <v>1.439301507305482</v>
      </c>
      <c r="E8" s="28">
        <f>'ИБР 2024'!Y8</f>
        <v>0.9540850022984666</v>
      </c>
      <c r="F8" s="36">
        <f t="shared" si="2"/>
        <v>1.5085673748545363</v>
      </c>
      <c r="G8" s="17">
        <f t="shared" si="0"/>
        <v>0</v>
      </c>
      <c r="H8" s="17">
        <f t="shared" si="1"/>
        <v>0</v>
      </c>
      <c r="I8" s="47">
        <f>11146.4+M8</f>
        <v>11310</v>
      </c>
      <c r="J8" s="40">
        <f t="shared" si="3"/>
        <v>11310</v>
      </c>
      <c r="K8" s="41">
        <v>8937.2</v>
      </c>
      <c r="L8" s="40">
        <f t="shared" si="4"/>
        <v>2372.7999999999993</v>
      </c>
      <c r="M8" s="45">
        <v>163.6</v>
      </c>
      <c r="N8" s="51"/>
      <c r="P8" s="54"/>
      <c r="Q8" s="44"/>
    </row>
    <row r="9" spans="1:17" ht="14.25">
      <c r="A9" s="6">
        <v>4</v>
      </c>
      <c r="B9" s="7" t="s">
        <v>51</v>
      </c>
      <c r="C9" s="49">
        <v>689</v>
      </c>
      <c r="D9" s="28">
        <f>'ИНП 2024'!X9</f>
        <v>3.0396090623702947</v>
      </c>
      <c r="E9" s="28">
        <f>'ИБР 2024'!Y9</f>
        <v>1.9202094124205686</v>
      </c>
      <c r="F9" s="36">
        <f t="shared" si="2"/>
        <v>1.582957068489024</v>
      </c>
      <c r="G9" s="17">
        <f t="shared" si="0"/>
        <v>0</v>
      </c>
      <c r="H9" s="17">
        <f t="shared" si="1"/>
        <v>0</v>
      </c>
      <c r="I9" s="47">
        <f>7602+M9</f>
        <v>7648.1</v>
      </c>
      <c r="J9" s="40">
        <f t="shared" si="3"/>
        <v>7648.1</v>
      </c>
      <c r="K9" s="41">
        <v>3912.8</v>
      </c>
      <c r="L9" s="40">
        <f t="shared" si="4"/>
        <v>3735.3</v>
      </c>
      <c r="M9" s="45">
        <v>46.1</v>
      </c>
      <c r="N9" s="51"/>
      <c r="P9" s="54"/>
      <c r="Q9" s="44"/>
    </row>
    <row r="10" spans="1:17" ht="14.25">
      <c r="A10" s="6">
        <v>5</v>
      </c>
      <c r="B10" s="7" t="s">
        <v>52</v>
      </c>
      <c r="C10" s="49">
        <v>1914</v>
      </c>
      <c r="D10" s="28">
        <f>'ИНП 2024'!X10</f>
        <v>0.3894870188139689</v>
      </c>
      <c r="E10" s="28">
        <f>'ИБР 2024'!Y10</f>
        <v>1.214430690107013</v>
      </c>
      <c r="F10" s="36">
        <f t="shared" si="2"/>
        <v>0.3207157246492578</v>
      </c>
      <c r="G10" s="17">
        <f t="shared" si="0"/>
        <v>1835.220054908858</v>
      </c>
      <c r="H10" s="17">
        <f t="shared" si="1"/>
        <v>1835.2</v>
      </c>
      <c r="I10" s="47">
        <f>4393.4+M10</f>
        <v>4521.5</v>
      </c>
      <c r="J10" s="40">
        <f t="shared" si="3"/>
        <v>6356.7</v>
      </c>
      <c r="K10" s="41">
        <v>5798.6</v>
      </c>
      <c r="L10" s="40">
        <f t="shared" si="4"/>
        <v>558.0999999999995</v>
      </c>
      <c r="M10" s="45">
        <v>128.1</v>
      </c>
      <c r="N10" s="51"/>
      <c r="P10" s="54"/>
      <c r="Q10" s="44"/>
    </row>
    <row r="11" spans="1:17" ht="14.25">
      <c r="A11" s="6">
        <v>6</v>
      </c>
      <c r="B11" s="7" t="s">
        <v>53</v>
      </c>
      <c r="C11" s="49">
        <v>1717</v>
      </c>
      <c r="D11" s="28">
        <f>'ИНП 2024'!X11</f>
        <v>1.649888382656998</v>
      </c>
      <c r="E11" s="28">
        <f>'ИБР 2024'!Y11</f>
        <v>1.2500725361704115</v>
      </c>
      <c r="F11" s="36">
        <f t="shared" si="2"/>
        <v>1.3198341175556259</v>
      </c>
      <c r="G11" s="17">
        <f t="shared" si="0"/>
        <v>0</v>
      </c>
      <c r="H11" s="17">
        <f t="shared" si="1"/>
        <v>0</v>
      </c>
      <c r="I11" s="47">
        <f>10424.3+M11</f>
        <v>10539.199999999999</v>
      </c>
      <c r="J11" s="40">
        <f t="shared" si="3"/>
        <v>10539.199999999999</v>
      </c>
      <c r="K11" s="41">
        <v>9208.4</v>
      </c>
      <c r="L11" s="40">
        <f t="shared" si="4"/>
        <v>1330.7999999999993</v>
      </c>
      <c r="M11" s="45">
        <v>114.9</v>
      </c>
      <c r="N11" s="51"/>
      <c r="P11" s="54"/>
      <c r="Q11" s="44"/>
    </row>
    <row r="12" spans="1:17" ht="14.25">
      <c r="A12" s="6">
        <v>7</v>
      </c>
      <c r="B12" s="7" t="s">
        <v>54</v>
      </c>
      <c r="C12" s="49">
        <v>843</v>
      </c>
      <c r="D12" s="28">
        <f>'ИНП 2024'!X12</f>
        <v>0.6964080470354009</v>
      </c>
      <c r="E12" s="28">
        <f>'ИБР 2024'!Y12</f>
        <v>1.480632848902093</v>
      </c>
      <c r="F12" s="36">
        <f t="shared" si="2"/>
        <v>0.4703448579786649</v>
      </c>
      <c r="G12" s="17">
        <f t="shared" si="0"/>
        <v>163.00699530941895</v>
      </c>
      <c r="H12" s="17">
        <f t="shared" si="1"/>
        <v>163</v>
      </c>
      <c r="I12" s="47">
        <f>2531.5+M12</f>
        <v>2587.9</v>
      </c>
      <c r="J12" s="40">
        <f t="shared" si="3"/>
        <v>2750.9</v>
      </c>
      <c r="K12" s="41">
        <v>3134.4</v>
      </c>
      <c r="L12" s="40">
        <f t="shared" si="4"/>
        <v>-383.5</v>
      </c>
      <c r="M12" s="45">
        <v>56.4</v>
      </c>
      <c r="N12" s="51"/>
      <c r="P12" s="54"/>
      <c r="Q12" s="44"/>
    </row>
    <row r="13" spans="1:17" ht="14.25">
      <c r="A13" s="6">
        <v>8</v>
      </c>
      <c r="B13" s="7" t="s">
        <v>55</v>
      </c>
      <c r="C13" s="49">
        <v>1950</v>
      </c>
      <c r="D13" s="28">
        <f>'ИНП 2024'!X13</f>
        <v>0.8289116477056777</v>
      </c>
      <c r="E13" s="28">
        <f>'ИБР 2024'!Y13</f>
        <v>1.0101902214497618</v>
      </c>
      <c r="F13" s="36">
        <f t="shared" si="2"/>
        <v>0.8205500608747485</v>
      </c>
      <c r="G13" s="17">
        <f t="shared" si="0"/>
        <v>0</v>
      </c>
      <c r="H13" s="17">
        <f t="shared" si="1"/>
        <v>0</v>
      </c>
      <c r="I13" s="47">
        <f>7087.7+M13</f>
        <v>7218.2</v>
      </c>
      <c r="J13" s="40">
        <f t="shared" si="3"/>
        <v>7218.2</v>
      </c>
      <c r="K13" s="41">
        <v>7665.9</v>
      </c>
      <c r="L13" s="40">
        <f t="shared" si="4"/>
        <v>-447.6999999999998</v>
      </c>
      <c r="M13" s="45">
        <v>130.5</v>
      </c>
      <c r="N13" s="51"/>
      <c r="P13" s="54"/>
      <c r="Q13" s="44"/>
    </row>
    <row r="14" spans="1:17" ht="14.25">
      <c r="A14" s="6">
        <v>9</v>
      </c>
      <c r="B14" s="7" t="s">
        <v>56</v>
      </c>
      <c r="C14" s="49">
        <v>678</v>
      </c>
      <c r="D14" s="28">
        <f>'ИНП 2024'!X14</f>
        <v>0.3914446741277677</v>
      </c>
      <c r="E14" s="28">
        <f>'ИБР 2024'!Y14</f>
        <v>1.934912342150715</v>
      </c>
      <c r="F14" s="36">
        <f t="shared" si="2"/>
        <v>0.20230615392770962</v>
      </c>
      <c r="G14" s="17">
        <f t="shared" si="0"/>
        <v>1719.8561540075384</v>
      </c>
      <c r="H14" s="17">
        <f t="shared" si="1"/>
        <v>1719.8</v>
      </c>
      <c r="I14" s="47">
        <f>2022.5+M14</f>
        <v>2067.9</v>
      </c>
      <c r="J14" s="40">
        <f t="shared" si="3"/>
        <v>3787.7</v>
      </c>
      <c r="K14" s="41">
        <v>2816.9</v>
      </c>
      <c r="L14" s="40">
        <f t="shared" si="4"/>
        <v>970.7999999999997</v>
      </c>
      <c r="M14" s="45">
        <v>45.4</v>
      </c>
      <c r="N14" s="51"/>
      <c r="P14" s="54"/>
      <c r="Q14" s="44"/>
    </row>
    <row r="15" spans="1:17" ht="14.25">
      <c r="A15" s="6">
        <v>10</v>
      </c>
      <c r="B15" s="7" t="s">
        <v>57</v>
      </c>
      <c r="C15" s="49">
        <v>1925</v>
      </c>
      <c r="D15" s="28">
        <f>'ИНП 2024'!X15</f>
        <v>0.40517833217061233</v>
      </c>
      <c r="E15" s="28">
        <f>'ИБР 2024'!Y15</f>
        <v>1.0872247723604793</v>
      </c>
      <c r="F15" s="36">
        <f t="shared" si="2"/>
        <v>0.3726720936379398</v>
      </c>
      <c r="G15" s="17">
        <f t="shared" si="0"/>
        <v>1173.5590588527004</v>
      </c>
      <c r="H15" s="17">
        <f t="shared" si="1"/>
        <v>1173.5</v>
      </c>
      <c r="I15" s="47">
        <f>3400.5+M15</f>
        <v>3529.3</v>
      </c>
      <c r="J15" s="40">
        <f t="shared" si="3"/>
        <v>4702.8</v>
      </c>
      <c r="K15" s="41">
        <v>4340.4</v>
      </c>
      <c r="L15" s="40">
        <f t="shared" si="4"/>
        <v>362.40000000000055</v>
      </c>
      <c r="M15" s="45">
        <v>128.8</v>
      </c>
      <c r="N15" s="51"/>
      <c r="P15" s="54"/>
      <c r="Q15" s="44"/>
    </row>
    <row r="16" spans="1:17" ht="14.25">
      <c r="A16" s="12"/>
      <c r="B16" s="13" t="s">
        <v>11</v>
      </c>
      <c r="C16" s="43">
        <f>SUM(C6:C15)</f>
        <v>25590</v>
      </c>
      <c r="D16" s="37">
        <f>'ИНП 2024'!X16</f>
        <v>1</v>
      </c>
      <c r="E16" s="37">
        <f>'ИБР 2024'!Y16</f>
        <v>1</v>
      </c>
      <c r="F16" s="38">
        <f t="shared" si="2"/>
        <v>1</v>
      </c>
      <c r="G16" s="39">
        <f>SUM(G6:G15)</f>
        <v>4891.6422630785155</v>
      </c>
      <c r="H16" s="39">
        <f t="shared" si="1"/>
        <v>4891.6</v>
      </c>
      <c r="I16" s="39">
        <f>SUM(I6:I15)</f>
        <v>114406.8</v>
      </c>
      <c r="J16" s="39">
        <f t="shared" si="3"/>
        <v>119298.40000000001</v>
      </c>
      <c r="K16" s="39">
        <f>SUM(K6:K15)</f>
        <v>83160.79999999997</v>
      </c>
      <c r="L16" s="39">
        <f t="shared" si="4"/>
        <v>36137.600000000035</v>
      </c>
      <c r="M16" s="1">
        <f>SUM(M6:M15)</f>
        <v>1712.6</v>
      </c>
      <c r="N16" s="51"/>
      <c r="P16" s="54"/>
      <c r="Q16" s="44"/>
    </row>
    <row r="17" spans="8:14" ht="14.25">
      <c r="H17" s="44"/>
      <c r="N17" s="51"/>
    </row>
    <row r="18" spans="6:17" ht="14.25">
      <c r="F18" s="18" t="s">
        <v>16</v>
      </c>
      <c r="G18" s="9">
        <v>112694.2</v>
      </c>
      <c r="I18" s="44"/>
      <c r="L18" s="44"/>
      <c r="N18" s="52"/>
      <c r="Q18" s="44"/>
    </row>
    <row r="19" spans="12:14" ht="14.25">
      <c r="L19" s="44"/>
      <c r="N19" s="51"/>
    </row>
    <row r="20" spans="7:8" ht="11.25">
      <c r="G20" s="44"/>
      <c r="H20" s="44"/>
    </row>
    <row r="21" ht="11.25">
      <c r="G21" s="44"/>
    </row>
  </sheetData>
  <sheetProtection/>
  <mergeCells count="13">
    <mergeCell ref="F3:F4"/>
    <mergeCell ref="G3:G4"/>
    <mergeCell ref="H3:H4"/>
    <mergeCell ref="I3:I4"/>
    <mergeCell ref="J3:J4"/>
    <mergeCell ref="K3:K4"/>
    <mergeCell ref="L3:L4"/>
    <mergeCell ref="C1:H1"/>
    <mergeCell ref="A3:A4"/>
    <mergeCell ref="B3:B4"/>
    <mergeCell ref="C3:C4"/>
    <mergeCell ref="D3:D4"/>
    <mergeCell ref="E3:E4"/>
  </mergeCells>
  <printOptions horizontalCentered="1" verticalCentered="1"/>
  <pageMargins left="0.31496062992125984" right="0.1968503937007874" top="0.1968503937007874" bottom="0.1968503937007874" header="0.15748031496062992" footer="0.15748031496062992"/>
  <pageSetup horizontalDpi="600" verticalDpi="600" orientation="landscape" paperSize="9" scale="8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38" sqref="O38"/>
    </sheetView>
  </sheetViews>
  <sheetFormatPr defaultColWidth="8.00390625" defaultRowHeight="12.75"/>
  <cols>
    <col min="1" max="1" width="3.25390625" style="1" customWidth="1"/>
    <col min="2" max="2" width="22.125" style="1" customWidth="1"/>
    <col min="3" max="5" width="8.75390625" style="19" customWidth="1"/>
    <col min="6" max="7" width="9.00390625" style="19" customWidth="1"/>
    <col min="8" max="10" width="8.75390625" style="19" hidden="1" customWidth="1"/>
    <col min="11" max="14" width="8.75390625" style="19" customWidth="1"/>
    <col min="15" max="15" width="9.875" style="19" customWidth="1"/>
    <col min="16" max="17" width="8.75390625" style="19" customWidth="1"/>
    <col min="18" max="18" width="9.625" style="19" customWidth="1"/>
    <col min="19" max="19" width="10.00390625" style="19" customWidth="1"/>
    <col min="20" max="25" width="8.75390625" style="19" customWidth="1"/>
    <col min="26" max="16384" width="8.00390625" style="1" customWidth="1"/>
  </cols>
  <sheetData>
    <row r="1" spans="2:25" ht="27" customHeight="1">
      <c r="B1" s="58" t="s">
        <v>72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11.25">
      <c r="Y2" s="1" t="s">
        <v>19</v>
      </c>
    </row>
    <row r="3" spans="1:25" ht="30.75" customHeight="1">
      <c r="A3" s="67" t="s">
        <v>0</v>
      </c>
      <c r="B3" s="67" t="s">
        <v>1</v>
      </c>
      <c r="C3" s="60" t="str">
        <f>'[2]МР_П'!C3</f>
        <v>Числен-ность постоян-ного населения, чел</v>
      </c>
      <c r="D3" s="20" t="s">
        <v>20</v>
      </c>
      <c r="E3" s="60" t="s">
        <v>21</v>
      </c>
      <c r="F3" s="59" t="s">
        <v>22</v>
      </c>
      <c r="G3" s="59"/>
      <c r="H3" s="21"/>
      <c r="I3" s="21"/>
      <c r="J3" s="21"/>
      <c r="K3" s="59" t="s">
        <v>23</v>
      </c>
      <c r="L3" s="59"/>
      <c r="M3" s="59"/>
      <c r="N3" s="59"/>
      <c r="O3" s="62" t="s">
        <v>24</v>
      </c>
      <c r="P3" s="63"/>
      <c r="Q3" s="63"/>
      <c r="R3" s="63"/>
      <c r="S3" s="64"/>
      <c r="T3" s="62" t="s">
        <v>25</v>
      </c>
      <c r="U3" s="63"/>
      <c r="V3" s="63"/>
      <c r="W3" s="63"/>
      <c r="X3" s="64"/>
      <c r="Y3" s="65" t="s">
        <v>13</v>
      </c>
    </row>
    <row r="4" spans="1:25" ht="56.25">
      <c r="A4" s="68"/>
      <c r="B4" s="68"/>
      <c r="C4" s="61"/>
      <c r="D4" s="20" t="s">
        <v>26</v>
      </c>
      <c r="E4" s="61"/>
      <c r="F4" s="20" t="s">
        <v>27</v>
      </c>
      <c r="G4" s="20" t="s">
        <v>28</v>
      </c>
      <c r="H4" s="22" t="s">
        <v>29</v>
      </c>
      <c r="I4" s="22" t="s">
        <v>30</v>
      </c>
      <c r="J4" s="22"/>
      <c r="K4" s="20" t="s">
        <v>31</v>
      </c>
      <c r="L4" s="20" t="s">
        <v>32</v>
      </c>
      <c r="M4" s="20" t="s">
        <v>33</v>
      </c>
      <c r="N4" s="20" t="s">
        <v>34</v>
      </c>
      <c r="O4" s="15" t="s">
        <v>35</v>
      </c>
      <c r="P4" s="15" t="s">
        <v>36</v>
      </c>
      <c r="Q4" s="15" t="s">
        <v>37</v>
      </c>
      <c r="R4" s="15" t="s">
        <v>38</v>
      </c>
      <c r="S4" s="15" t="s">
        <v>39</v>
      </c>
      <c r="T4" s="15" t="s">
        <v>35</v>
      </c>
      <c r="U4" s="15" t="s">
        <v>36</v>
      </c>
      <c r="V4" s="15" t="s">
        <v>37</v>
      </c>
      <c r="W4" s="15" t="s">
        <v>38</v>
      </c>
      <c r="X4" s="15" t="s">
        <v>39</v>
      </c>
      <c r="Y4" s="66"/>
    </row>
    <row r="5" spans="1:25" s="5" customFormat="1" ht="11.25">
      <c r="A5" s="4"/>
      <c r="B5" s="4"/>
      <c r="C5" s="4"/>
      <c r="D5" s="4"/>
      <c r="E5" s="4"/>
      <c r="F5" s="4"/>
      <c r="G5" s="4"/>
      <c r="H5" s="23"/>
      <c r="I5" s="23"/>
      <c r="J5" s="23"/>
      <c r="K5" s="4"/>
      <c r="L5" s="4"/>
      <c r="M5" s="4"/>
      <c r="N5" s="4"/>
      <c r="O5" s="4"/>
      <c r="P5" s="4"/>
      <c r="Q5" s="4"/>
      <c r="R5" s="4"/>
      <c r="S5" s="4"/>
      <c r="T5" s="24">
        <v>0.26</v>
      </c>
      <c r="U5" s="24">
        <v>0</v>
      </c>
      <c r="V5" s="24">
        <v>0</v>
      </c>
      <c r="W5" s="24">
        <v>0.35</v>
      </c>
      <c r="X5" s="24">
        <v>0.39</v>
      </c>
      <c r="Y5" s="4"/>
    </row>
    <row r="6" spans="1:25" ht="11.25">
      <c r="A6" s="6">
        <v>1</v>
      </c>
      <c r="B6" s="7" t="s">
        <v>48</v>
      </c>
      <c r="C6" s="49">
        <v>8903</v>
      </c>
      <c r="D6" s="8">
        <v>8903</v>
      </c>
      <c r="E6" s="8"/>
      <c r="F6" s="25">
        <v>2917.04</v>
      </c>
      <c r="G6" s="25">
        <v>55.73</v>
      </c>
      <c r="H6" s="26">
        <v>21467.3</v>
      </c>
      <c r="I6" s="26">
        <f aca="true" t="shared" si="0" ref="I6:I12">F6*H6</f>
        <v>62620972.791999996</v>
      </c>
      <c r="J6" s="27">
        <f>'ИБР 2026'!G6*'ИБР 2026'!H6/'ИБР 2026'!$H$16</f>
        <v>10.795735650023913</v>
      </c>
      <c r="K6" s="28">
        <f aca="true" t="shared" si="1" ref="K6:K15">IF(C6&lt;&gt;0,0.6+0.4*($C$16/COUNT($A$6:$A$15))/C6,0)</f>
        <v>0.714972481186117</v>
      </c>
      <c r="L6" s="28">
        <f>IF(C6&lt;&gt;0,1+E6/C6,0)</f>
        <v>1</v>
      </c>
      <c r="M6" s="28">
        <f>IF(C6&lt;&gt;0,1+D6/C6,0)</f>
        <v>2</v>
      </c>
      <c r="N6" s="28">
        <f aca="true" t="shared" si="2" ref="N6:N16">IF($G$16&lt;&gt;0,0.9+0.1*(0.8*F6/$F$16+0.2*G6/$G$16),0)</f>
        <v>1</v>
      </c>
      <c r="O6" s="17">
        <f aca="true" t="shared" si="3" ref="O6:O16">C6*K6</f>
        <v>6365.4</v>
      </c>
      <c r="P6" s="17">
        <f>C6*L6*M6</f>
        <v>17806</v>
      </c>
      <c r="Q6" s="17">
        <f aca="true" t="shared" si="4" ref="Q6:Q16">C6*M6</f>
        <v>17806</v>
      </c>
      <c r="R6" s="17">
        <f aca="true" t="shared" si="5" ref="R6:R16">C6*K6*N6</f>
        <v>6365.4</v>
      </c>
      <c r="S6" s="17">
        <f aca="true" t="shared" si="6" ref="S6:S16">C6*L6</f>
        <v>8903</v>
      </c>
      <c r="T6" s="28">
        <f aca="true" t="shared" si="7" ref="T6:T16">IF(C6&lt;&gt;0,(O6/$C6)/(O$16/$C$16),0)</f>
        <v>0.714972481186117</v>
      </c>
      <c r="U6" s="28">
        <f aca="true" t="shared" si="8" ref="U6:U16">IF(C6&lt;&gt;0,(P6/$C6)/(P$16/$C$16),0)</f>
        <v>1.1727879678127948</v>
      </c>
      <c r="V6" s="28">
        <f aca="true" t="shared" si="9" ref="V6:V16">IF(C6&lt;&gt;0,(Q6/$C6)/(Q$16/$C$16),0)</f>
        <v>1.4117452348771136</v>
      </c>
      <c r="W6" s="28">
        <f aca="true" t="shared" si="10" ref="W6:W16">IF(C6&lt;&gt;0,(R6/$C6)/(R$16/$C$16),0)</f>
        <v>0.714972481186117</v>
      </c>
      <c r="X6" s="28">
        <f aca="true" t="shared" si="11" ref="X6:X16">IF(C6&lt;&gt;0,(S6/$C6)/(S$16/$C$16),0)</f>
        <v>0.8307362680171406</v>
      </c>
      <c r="Y6" s="29">
        <f>IF(SUM($T$5:$X$5)=1,T6*$T$5+U6*$U$5+V6*$V$5+W6*$W$5+X6*$X$5,0)</f>
        <v>0.7601203580502163</v>
      </c>
    </row>
    <row r="7" spans="1:25" ht="11.25">
      <c r="A7" s="6">
        <v>2</v>
      </c>
      <c r="B7" s="7" t="s">
        <v>49</v>
      </c>
      <c r="C7" s="49">
        <v>4527</v>
      </c>
      <c r="D7" s="8">
        <v>1760</v>
      </c>
      <c r="E7" s="8">
        <v>1007</v>
      </c>
      <c r="F7" s="25">
        <v>2917.04</v>
      </c>
      <c r="G7" s="25">
        <v>55.73</v>
      </c>
      <c r="H7" s="26">
        <v>13753.5</v>
      </c>
      <c r="I7" s="26">
        <f t="shared" si="0"/>
        <v>40119509.64</v>
      </c>
      <c r="J7" s="27">
        <f>'ИБР 2026'!G7*'ИБР 2026'!H7/'ИБР 2026'!$H$16</f>
        <v>6.916526543282289</v>
      </c>
      <c r="K7" s="28">
        <f t="shared" si="1"/>
        <v>0.8261100066269053</v>
      </c>
      <c r="L7" s="28">
        <f aca="true" t="shared" si="12" ref="L7:L15">IF(C7&lt;&gt;0,1+E7/C7,0)</f>
        <v>1.2224431190633973</v>
      </c>
      <c r="M7" s="28">
        <f aca="true" t="shared" si="13" ref="M7:M15">IF(C7&lt;&gt;0,1+D7/C7,0)</f>
        <v>1.3887784404683012</v>
      </c>
      <c r="N7" s="28">
        <f t="shared" si="2"/>
        <v>1</v>
      </c>
      <c r="O7" s="17">
        <f t="shared" si="3"/>
        <v>3739.8</v>
      </c>
      <c r="P7" s="17">
        <f aca="true" t="shared" si="14" ref="P7:P16">C7*L7*M7</f>
        <v>7685.499889551579</v>
      </c>
      <c r="Q7" s="17">
        <f t="shared" si="4"/>
        <v>6287</v>
      </c>
      <c r="R7" s="17">
        <f t="shared" si="5"/>
        <v>3739.8</v>
      </c>
      <c r="S7" s="17">
        <f t="shared" si="6"/>
        <v>5534</v>
      </c>
      <c r="T7" s="28">
        <f t="shared" si="7"/>
        <v>0.8261100066269053</v>
      </c>
      <c r="U7" s="28">
        <f t="shared" si="8"/>
        <v>0.9955226195154248</v>
      </c>
      <c r="V7" s="28">
        <f t="shared" si="9"/>
        <v>0.9803006728155967</v>
      </c>
      <c r="W7" s="28">
        <f t="shared" si="10"/>
        <v>0.8261100066269053</v>
      </c>
      <c r="X7" s="28">
        <f t="shared" si="11"/>
        <v>1.0155278345939598</v>
      </c>
      <c r="Y7" s="29">
        <f aca="true" t="shared" si="15" ref="Y7:Y16">IF(SUM($T$5:$X$5)=1,T7*$T$5+U7*$U$5+V7*$V$5+W7*$W$5+X7*$X$5,0)</f>
        <v>0.8999829595340566</v>
      </c>
    </row>
    <row r="8" spans="1:25" ht="11.25">
      <c r="A8" s="6">
        <v>3</v>
      </c>
      <c r="B8" s="7" t="s">
        <v>50</v>
      </c>
      <c r="C8" s="49">
        <v>2444</v>
      </c>
      <c r="D8" s="8"/>
      <c r="E8" s="8">
        <v>65</v>
      </c>
      <c r="F8" s="25">
        <v>2917.04</v>
      </c>
      <c r="G8" s="25">
        <v>55.73</v>
      </c>
      <c r="H8" s="26">
        <v>16300</v>
      </c>
      <c r="I8" s="26">
        <f t="shared" si="0"/>
        <v>47547752</v>
      </c>
      <c r="J8" s="27">
        <f>'ИБР 2026'!G8*'ИБР 2026'!H8/'ИБР 2026'!$H$16</f>
        <v>8.197141284436784</v>
      </c>
      <c r="K8" s="28">
        <f t="shared" si="1"/>
        <v>1.018821603927987</v>
      </c>
      <c r="L8" s="28">
        <f t="shared" si="12"/>
        <v>1.0265957446808511</v>
      </c>
      <c r="M8" s="28">
        <f t="shared" si="13"/>
        <v>1</v>
      </c>
      <c r="N8" s="28">
        <f t="shared" si="2"/>
        <v>1</v>
      </c>
      <c r="O8" s="17">
        <f t="shared" si="3"/>
        <v>2490</v>
      </c>
      <c r="P8" s="17">
        <f t="shared" si="14"/>
        <v>2509</v>
      </c>
      <c r="Q8" s="17">
        <f t="shared" si="4"/>
        <v>2444</v>
      </c>
      <c r="R8" s="17">
        <f t="shared" si="5"/>
        <v>2490</v>
      </c>
      <c r="S8" s="17">
        <f t="shared" si="6"/>
        <v>2509</v>
      </c>
      <c r="T8" s="28">
        <f t="shared" si="7"/>
        <v>1.018821603927987</v>
      </c>
      <c r="U8" s="28">
        <f t="shared" si="8"/>
        <v>0.6019895685847592</v>
      </c>
      <c r="V8" s="28">
        <f t="shared" si="9"/>
        <v>0.7058726174385568</v>
      </c>
      <c r="W8" s="28">
        <f t="shared" si="10"/>
        <v>1.018821603927987</v>
      </c>
      <c r="X8" s="28">
        <f t="shared" si="11"/>
        <v>0.8528303176984475</v>
      </c>
      <c r="Y8" s="29">
        <f t="shared" si="15"/>
        <v>0.9540850022984666</v>
      </c>
    </row>
    <row r="9" spans="1:25" ht="11.25">
      <c r="A9" s="6">
        <v>4</v>
      </c>
      <c r="B9" s="7" t="s">
        <v>51</v>
      </c>
      <c r="C9" s="49">
        <v>689</v>
      </c>
      <c r="D9" s="8"/>
      <c r="E9" s="8">
        <v>689</v>
      </c>
      <c r="F9" s="25">
        <v>2917.04</v>
      </c>
      <c r="G9" s="25">
        <v>55.73</v>
      </c>
      <c r="H9" s="26"/>
      <c r="I9" s="26">
        <f t="shared" si="0"/>
        <v>0</v>
      </c>
      <c r="J9" s="27">
        <f>'ИБР 2026'!G9*'ИБР 2026'!H9/'ИБР 2026'!$H$16</f>
        <v>0</v>
      </c>
      <c r="K9" s="28">
        <f t="shared" si="1"/>
        <v>2.085631349782293</v>
      </c>
      <c r="L9" s="28">
        <f t="shared" si="12"/>
        <v>2</v>
      </c>
      <c r="M9" s="28">
        <f t="shared" si="13"/>
        <v>1</v>
      </c>
      <c r="N9" s="28">
        <f t="shared" si="2"/>
        <v>1</v>
      </c>
      <c r="O9" s="17">
        <f t="shared" si="3"/>
        <v>1437</v>
      </c>
      <c r="P9" s="17">
        <f t="shared" si="14"/>
        <v>1378</v>
      </c>
      <c r="Q9" s="17">
        <f t="shared" si="4"/>
        <v>689</v>
      </c>
      <c r="R9" s="17">
        <f t="shared" si="5"/>
        <v>1437</v>
      </c>
      <c r="S9" s="17">
        <f t="shared" si="6"/>
        <v>1378</v>
      </c>
      <c r="T9" s="28">
        <f t="shared" si="7"/>
        <v>2.085631349782293</v>
      </c>
      <c r="U9" s="28">
        <f t="shared" si="8"/>
        <v>1.1727879678127948</v>
      </c>
      <c r="V9" s="28">
        <f t="shared" si="9"/>
        <v>0.7058726174385568</v>
      </c>
      <c r="W9" s="28">
        <f t="shared" si="10"/>
        <v>2.085631349782293</v>
      </c>
      <c r="X9" s="28">
        <f t="shared" si="11"/>
        <v>1.6614725360342812</v>
      </c>
      <c r="Y9" s="29">
        <f t="shared" si="15"/>
        <v>1.9202094124205686</v>
      </c>
    </row>
    <row r="10" spans="1:25" ht="11.25">
      <c r="A10" s="6">
        <v>5</v>
      </c>
      <c r="B10" s="7" t="s">
        <v>52</v>
      </c>
      <c r="C10" s="49">
        <v>1914</v>
      </c>
      <c r="D10" s="8"/>
      <c r="E10" s="8">
        <v>1171</v>
      </c>
      <c r="F10" s="25">
        <v>2917.04</v>
      </c>
      <c r="G10" s="25">
        <v>55.73</v>
      </c>
      <c r="H10" s="26">
        <v>20636.3</v>
      </c>
      <c r="I10" s="26">
        <f t="shared" si="0"/>
        <v>60196912.55199999</v>
      </c>
      <c r="J10" s="27">
        <f>'ИБР 2026'!G10*'ИБР 2026'!H10/'ИБР 2026'!$H$16</f>
        <v>10.377832312148637</v>
      </c>
      <c r="K10" s="28">
        <f t="shared" si="1"/>
        <v>1.134796238244514</v>
      </c>
      <c r="L10" s="28">
        <f t="shared" si="12"/>
        <v>1.6118077324973876</v>
      </c>
      <c r="M10" s="28">
        <f t="shared" si="13"/>
        <v>1</v>
      </c>
      <c r="N10" s="28">
        <f t="shared" si="2"/>
        <v>1</v>
      </c>
      <c r="O10" s="17">
        <f t="shared" si="3"/>
        <v>2172</v>
      </c>
      <c r="P10" s="17">
        <f t="shared" si="14"/>
        <v>3085</v>
      </c>
      <c r="Q10" s="17">
        <f t="shared" si="4"/>
        <v>1914</v>
      </c>
      <c r="R10" s="17">
        <f t="shared" si="5"/>
        <v>2172</v>
      </c>
      <c r="S10" s="17">
        <f t="shared" si="6"/>
        <v>3085</v>
      </c>
      <c r="T10" s="28">
        <f t="shared" si="7"/>
        <v>1.134796238244514</v>
      </c>
      <c r="U10" s="28">
        <f t="shared" si="8"/>
        <v>0.9451543575502801</v>
      </c>
      <c r="V10" s="28">
        <f t="shared" si="9"/>
        <v>0.7058726174385568</v>
      </c>
      <c r="W10" s="28">
        <f t="shared" si="10"/>
        <v>1.134796238244514</v>
      </c>
      <c r="X10" s="28">
        <f t="shared" si="11"/>
        <v>1.3389871404560494</v>
      </c>
      <c r="Y10" s="29">
        <f t="shared" si="15"/>
        <v>1.214430690107013</v>
      </c>
    </row>
    <row r="11" spans="1:25" ht="11.25">
      <c r="A11" s="6">
        <v>6</v>
      </c>
      <c r="B11" s="7" t="s">
        <v>53</v>
      </c>
      <c r="C11" s="49">
        <v>1717</v>
      </c>
      <c r="D11" s="8"/>
      <c r="E11" s="8">
        <v>1041</v>
      </c>
      <c r="F11" s="25">
        <v>2917.04</v>
      </c>
      <c r="G11" s="25">
        <v>55.73</v>
      </c>
      <c r="H11" s="26">
        <v>5640</v>
      </c>
      <c r="I11" s="26">
        <f t="shared" si="0"/>
        <v>16452105.6</v>
      </c>
      <c r="J11" s="27">
        <f>'ИБР 2026'!G11*'ИБР 2026'!H11/'ИБР 2026'!$H$16</f>
        <v>2.836311462835795</v>
      </c>
      <c r="K11" s="28">
        <f t="shared" si="1"/>
        <v>1.196156086196855</v>
      </c>
      <c r="L11" s="28">
        <f t="shared" si="12"/>
        <v>1.6062900407687828</v>
      </c>
      <c r="M11" s="28">
        <f t="shared" si="13"/>
        <v>1</v>
      </c>
      <c r="N11" s="28">
        <f t="shared" si="2"/>
        <v>1</v>
      </c>
      <c r="O11" s="17">
        <f t="shared" si="3"/>
        <v>2053.8</v>
      </c>
      <c r="P11" s="17">
        <f t="shared" si="14"/>
        <v>2758</v>
      </c>
      <c r="Q11" s="17">
        <f t="shared" si="4"/>
        <v>1717</v>
      </c>
      <c r="R11" s="17">
        <f t="shared" si="5"/>
        <v>2053.8</v>
      </c>
      <c r="S11" s="17">
        <f t="shared" si="6"/>
        <v>2758</v>
      </c>
      <c r="T11" s="28">
        <f t="shared" si="7"/>
        <v>1.196156086196855</v>
      </c>
      <c r="U11" s="28">
        <f t="shared" si="8"/>
        <v>0.9419188163155762</v>
      </c>
      <c r="V11" s="28">
        <f t="shared" si="9"/>
        <v>0.7058726174385568</v>
      </c>
      <c r="W11" s="28">
        <f t="shared" si="10"/>
        <v>1.196156086196855</v>
      </c>
      <c r="X11" s="28">
        <f t="shared" si="11"/>
        <v>1.3344033938213593</v>
      </c>
      <c r="Y11" s="29">
        <f t="shared" si="15"/>
        <v>1.2500725361704115</v>
      </c>
    </row>
    <row r="12" spans="1:25" ht="11.25">
      <c r="A12" s="6">
        <v>7</v>
      </c>
      <c r="B12" s="7" t="s">
        <v>54</v>
      </c>
      <c r="C12" s="49">
        <v>843</v>
      </c>
      <c r="D12" s="8"/>
      <c r="E12" s="8">
        <v>130</v>
      </c>
      <c r="F12" s="25">
        <v>2917.04</v>
      </c>
      <c r="G12" s="25">
        <v>55.73</v>
      </c>
      <c r="H12" s="26">
        <v>6002.5</v>
      </c>
      <c r="I12" s="26">
        <f t="shared" si="0"/>
        <v>17509532.6</v>
      </c>
      <c r="J12" s="27">
        <f>'ИБР 2026'!G12*'ИБР 2026'!H12/'ИБР 2026'!$H$16</f>
        <v>3.018609850296429</v>
      </c>
      <c r="K12" s="28">
        <f t="shared" si="1"/>
        <v>1.81423487544484</v>
      </c>
      <c r="L12" s="28">
        <f t="shared" si="12"/>
        <v>1.1542111506524317</v>
      </c>
      <c r="M12" s="28">
        <f t="shared" si="13"/>
        <v>1</v>
      </c>
      <c r="N12" s="28">
        <f t="shared" si="2"/>
        <v>1</v>
      </c>
      <c r="O12" s="17">
        <f t="shared" si="3"/>
        <v>1529.4</v>
      </c>
      <c r="P12" s="17">
        <f t="shared" si="14"/>
        <v>973</v>
      </c>
      <c r="Q12" s="17">
        <f t="shared" si="4"/>
        <v>843</v>
      </c>
      <c r="R12" s="17">
        <f t="shared" si="5"/>
        <v>1529.4</v>
      </c>
      <c r="S12" s="17">
        <f t="shared" si="6"/>
        <v>973</v>
      </c>
      <c r="T12" s="28">
        <f t="shared" si="7"/>
        <v>1.8142348754448399</v>
      </c>
      <c r="U12" s="28">
        <f t="shared" si="8"/>
        <v>0.6768224749002666</v>
      </c>
      <c r="V12" s="28">
        <f t="shared" si="9"/>
        <v>0.7058726174385568</v>
      </c>
      <c r="W12" s="28">
        <f t="shared" si="10"/>
        <v>1.8142348754448399</v>
      </c>
      <c r="X12" s="28">
        <f t="shared" si="11"/>
        <v>0.9588450637967707</v>
      </c>
      <c r="Y12" s="29">
        <f t="shared" si="15"/>
        <v>1.480632848902093</v>
      </c>
    </row>
    <row r="13" spans="1:25" ht="11.25">
      <c r="A13" s="6">
        <v>8</v>
      </c>
      <c r="B13" s="7" t="s">
        <v>55</v>
      </c>
      <c r="C13" s="49">
        <v>1950</v>
      </c>
      <c r="D13" s="8"/>
      <c r="E13" s="8"/>
      <c r="F13" s="25">
        <v>2917.04</v>
      </c>
      <c r="G13" s="25">
        <v>55.73</v>
      </c>
      <c r="H13" s="26"/>
      <c r="I13" s="26"/>
      <c r="J13" s="27"/>
      <c r="K13" s="28">
        <f t="shared" si="1"/>
        <v>1.124923076923077</v>
      </c>
      <c r="L13" s="28">
        <f t="shared" si="12"/>
        <v>1</v>
      </c>
      <c r="M13" s="28">
        <f t="shared" si="13"/>
        <v>1</v>
      </c>
      <c r="N13" s="28">
        <f t="shared" si="2"/>
        <v>1</v>
      </c>
      <c r="O13" s="17">
        <f t="shared" si="3"/>
        <v>2193.6</v>
      </c>
      <c r="P13" s="17">
        <f t="shared" si="14"/>
        <v>1950</v>
      </c>
      <c r="Q13" s="17">
        <f t="shared" si="4"/>
        <v>1950</v>
      </c>
      <c r="R13" s="17">
        <f t="shared" si="5"/>
        <v>2193.6</v>
      </c>
      <c r="S13" s="17">
        <f t="shared" si="6"/>
        <v>1950</v>
      </c>
      <c r="T13" s="28">
        <f t="shared" si="7"/>
        <v>1.124923076923077</v>
      </c>
      <c r="U13" s="28">
        <f t="shared" si="8"/>
        <v>0.5863939839063974</v>
      </c>
      <c r="V13" s="28">
        <f t="shared" si="9"/>
        <v>0.7058726174385568</v>
      </c>
      <c r="W13" s="28">
        <f t="shared" si="10"/>
        <v>1.124923076923077</v>
      </c>
      <c r="X13" s="28">
        <f t="shared" si="11"/>
        <v>0.8307362680171406</v>
      </c>
      <c r="Y13" s="29">
        <f t="shared" si="15"/>
        <v>1.0101902214497618</v>
      </c>
    </row>
    <row r="14" spans="1:25" ht="11.25">
      <c r="A14" s="6">
        <v>9</v>
      </c>
      <c r="B14" s="7" t="s">
        <v>56</v>
      </c>
      <c r="C14" s="49">
        <v>678</v>
      </c>
      <c r="D14" s="8"/>
      <c r="E14" s="8">
        <v>678</v>
      </c>
      <c r="F14" s="25">
        <v>2917.04</v>
      </c>
      <c r="G14" s="25">
        <v>55.73</v>
      </c>
      <c r="H14" s="26">
        <v>14166.2</v>
      </c>
      <c r="I14" s="26">
        <f>F14*H14</f>
        <v>41323372.048</v>
      </c>
      <c r="J14" s="27">
        <f>'ИБР 2026'!G14*'ИБР 2026'!H14/'ИБР 2026'!$H$16</f>
        <v>7.124070114330575</v>
      </c>
      <c r="K14" s="28">
        <f t="shared" si="1"/>
        <v>2.1097345132743364</v>
      </c>
      <c r="L14" s="28">
        <f t="shared" si="12"/>
        <v>2</v>
      </c>
      <c r="M14" s="28">
        <f t="shared" si="13"/>
        <v>1</v>
      </c>
      <c r="N14" s="28">
        <f t="shared" si="2"/>
        <v>1</v>
      </c>
      <c r="O14" s="17">
        <f t="shared" si="3"/>
        <v>1430.4</v>
      </c>
      <c r="P14" s="17">
        <f t="shared" si="14"/>
        <v>1356</v>
      </c>
      <c r="Q14" s="17">
        <f t="shared" si="4"/>
        <v>678</v>
      </c>
      <c r="R14" s="17">
        <f t="shared" si="5"/>
        <v>1430.4</v>
      </c>
      <c r="S14" s="17">
        <f t="shared" si="6"/>
        <v>1356</v>
      </c>
      <c r="T14" s="28">
        <f t="shared" si="7"/>
        <v>2.1097345132743364</v>
      </c>
      <c r="U14" s="28">
        <f t="shared" si="8"/>
        <v>1.1727879678127948</v>
      </c>
      <c r="V14" s="28">
        <f t="shared" si="9"/>
        <v>0.7058726174385568</v>
      </c>
      <c r="W14" s="28">
        <f t="shared" si="10"/>
        <v>2.1097345132743364</v>
      </c>
      <c r="X14" s="28">
        <f t="shared" si="11"/>
        <v>1.6614725360342812</v>
      </c>
      <c r="Y14" s="29">
        <f t="shared" si="15"/>
        <v>1.934912342150715</v>
      </c>
    </row>
    <row r="15" spans="1:25" ht="11.25">
      <c r="A15" s="6">
        <v>10</v>
      </c>
      <c r="B15" s="7" t="s">
        <v>57</v>
      </c>
      <c r="C15" s="49">
        <v>1925</v>
      </c>
      <c r="D15" s="8"/>
      <c r="E15" s="8">
        <v>433</v>
      </c>
      <c r="F15" s="25">
        <v>2917.04</v>
      </c>
      <c r="G15" s="25">
        <v>55.73</v>
      </c>
      <c r="H15" s="26">
        <v>12853.2</v>
      </c>
      <c r="I15" s="26">
        <f>F15*H15</f>
        <v>37493298.528000005</v>
      </c>
      <c r="J15" s="27">
        <f>'ИБР 2026'!G15*'ИБР 2026'!H15/'ИБР 2026'!$H$16</f>
        <v>6.4637727826455755</v>
      </c>
      <c r="K15" s="28">
        <f t="shared" si="1"/>
        <v>1.1317402597402597</v>
      </c>
      <c r="L15" s="28">
        <f t="shared" si="12"/>
        <v>1.224935064935065</v>
      </c>
      <c r="M15" s="28">
        <f t="shared" si="13"/>
        <v>1</v>
      </c>
      <c r="N15" s="28">
        <f t="shared" si="2"/>
        <v>1</v>
      </c>
      <c r="O15" s="17">
        <f t="shared" si="3"/>
        <v>2178.6</v>
      </c>
      <c r="P15" s="17">
        <f t="shared" si="14"/>
        <v>2358</v>
      </c>
      <c r="Q15" s="17">
        <f t="shared" si="4"/>
        <v>1925</v>
      </c>
      <c r="R15" s="17">
        <f t="shared" si="5"/>
        <v>2178.6</v>
      </c>
      <c r="S15" s="17">
        <f t="shared" si="6"/>
        <v>2358</v>
      </c>
      <c r="T15" s="28">
        <f t="shared" si="7"/>
        <v>1.1317402597402597</v>
      </c>
      <c r="U15" s="28">
        <f t="shared" si="8"/>
        <v>0.7182945527539144</v>
      </c>
      <c r="V15" s="28">
        <f t="shared" si="9"/>
        <v>0.7058726174385568</v>
      </c>
      <c r="W15" s="28">
        <f t="shared" si="10"/>
        <v>1.1317402597402597</v>
      </c>
      <c r="X15" s="28">
        <f t="shared" si="11"/>
        <v>1.0175979844074896</v>
      </c>
      <c r="Y15" s="29">
        <f t="shared" si="15"/>
        <v>1.0872247723604793</v>
      </c>
    </row>
    <row r="16" spans="1:25" ht="12.75">
      <c r="A16" s="12"/>
      <c r="B16" s="13" t="s">
        <v>11</v>
      </c>
      <c r="C16" s="13">
        <f>SUM(C6:C15)</f>
        <v>25590</v>
      </c>
      <c r="D16" s="30">
        <f>SUM(D6:D15)</f>
        <v>10663</v>
      </c>
      <c r="E16" s="30">
        <f>SUM(E6:E15)</f>
        <v>5214</v>
      </c>
      <c r="F16" s="25">
        <v>2917.04</v>
      </c>
      <c r="G16" s="25">
        <v>55.73</v>
      </c>
      <c r="H16" s="31">
        <f>SUM(H6:H15)</f>
        <v>110819</v>
      </c>
      <c r="I16" s="31">
        <f>SUM(I6:I15)</f>
        <v>323263455.75999993</v>
      </c>
      <c r="J16" s="32">
        <f>SUM(J6:J15)</f>
        <v>55.730000000000004</v>
      </c>
      <c r="K16" s="29">
        <f>IF(C16&lt;&gt;0,0.6+0.4*($C$16/COUNT($A$6:$A$15))/(C16/COUNT($A$6:$A$15)),0)</f>
        <v>1</v>
      </c>
      <c r="L16" s="29">
        <f>IF(C16&lt;&gt;0,1+E16/C16,0)</f>
        <v>1.2037514654161783</v>
      </c>
      <c r="M16" s="29">
        <f>IF(C16&lt;&gt;0,1+D16/C16,0)</f>
        <v>1.4166862055490426</v>
      </c>
      <c r="N16" s="29">
        <f t="shared" si="2"/>
        <v>1</v>
      </c>
      <c r="O16" s="33">
        <f t="shared" si="3"/>
        <v>25590</v>
      </c>
      <c r="P16" s="33">
        <f t="shared" si="14"/>
        <v>43639.60187573271</v>
      </c>
      <c r="Q16" s="33">
        <f t="shared" si="4"/>
        <v>36253</v>
      </c>
      <c r="R16" s="33">
        <f t="shared" si="5"/>
        <v>25590</v>
      </c>
      <c r="S16" s="33">
        <f t="shared" si="6"/>
        <v>30804.000000000004</v>
      </c>
      <c r="T16" s="29">
        <f t="shared" si="7"/>
        <v>1</v>
      </c>
      <c r="U16" s="29">
        <f t="shared" si="8"/>
        <v>1</v>
      </c>
      <c r="V16" s="29">
        <f t="shared" si="9"/>
        <v>1</v>
      </c>
      <c r="W16" s="29">
        <f t="shared" si="10"/>
        <v>1</v>
      </c>
      <c r="X16" s="29">
        <f t="shared" si="11"/>
        <v>1</v>
      </c>
      <c r="Y16" s="29">
        <f t="shared" si="15"/>
        <v>1</v>
      </c>
    </row>
    <row r="17" spans="3:25" ht="11.2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3:25" ht="11.25"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3:25" ht="11.25"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</row>
  </sheetData>
  <sheetProtection/>
  <mergeCells count="10">
    <mergeCell ref="O3:S3"/>
    <mergeCell ref="T3:X3"/>
    <mergeCell ref="Y3:Y4"/>
    <mergeCell ref="B1:N1"/>
    <mergeCell ref="A3:A4"/>
    <mergeCell ref="B3:B4"/>
    <mergeCell ref="C3:C4"/>
    <mergeCell ref="E3:E4"/>
    <mergeCell ref="F3:G3"/>
    <mergeCell ref="K3:N3"/>
  </mergeCells>
  <printOptions horizontalCentered="1" verticalCentered="1"/>
  <pageMargins left="0.31496062992125984" right="0.1968503937007874" top="0.1968503937007874" bottom="0.1968503937007874" header="0.15748031496062992" footer="0.15748031496062992"/>
  <pageSetup fitToHeight="1" fitToWidth="1" horizontalDpi="600" verticalDpi="600" orientation="landscape" paperSize="9" scale="63" r:id="rId1"/>
  <colBreaks count="1" manualBreakCount="1">
    <brk id="14" max="4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X16"/>
  <sheetViews>
    <sheetView zoomScaleSheetLayoutView="100" zoomScalePageLayoutView="0" workbookViewId="0" topLeftCell="A1">
      <pane xSplit="2" ySplit="5" topLeftCell="E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6" sqref="U6:U15"/>
    </sheetView>
  </sheetViews>
  <sheetFormatPr defaultColWidth="8.00390625" defaultRowHeight="12.75"/>
  <cols>
    <col min="1" max="1" width="3.25390625" style="1" customWidth="1"/>
    <col min="2" max="2" width="22.125" style="1" customWidth="1"/>
    <col min="3" max="3" width="10.875" style="1" customWidth="1"/>
    <col min="4" max="24" width="12.00390625" style="1" customWidth="1"/>
    <col min="25" max="16384" width="8.00390625" style="1" customWidth="1"/>
  </cols>
  <sheetData>
    <row r="1" spans="3:24" ht="27" customHeight="1">
      <c r="C1" s="58" t="s">
        <v>71</v>
      </c>
      <c r="D1" s="58"/>
      <c r="E1" s="58"/>
      <c r="F1" s="58"/>
      <c r="G1" s="58"/>
      <c r="H1" s="58"/>
      <c r="I1" s="58"/>
      <c r="J1" s="58"/>
      <c r="K1" s="58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3" spans="1:24" ht="30.75" customHeight="1">
      <c r="A3" s="69" t="s">
        <v>0</v>
      </c>
      <c r="B3" s="69" t="s">
        <v>1</v>
      </c>
      <c r="C3" s="71" t="s">
        <v>2</v>
      </c>
      <c r="D3" s="69" t="s">
        <v>3</v>
      </c>
      <c r="E3" s="69"/>
      <c r="F3" s="69"/>
      <c r="G3" s="69"/>
      <c r="H3" s="69" t="s">
        <v>4</v>
      </c>
      <c r="I3" s="69"/>
      <c r="J3" s="69"/>
      <c r="K3" s="69"/>
      <c r="L3" s="69" t="s">
        <v>5</v>
      </c>
      <c r="M3" s="69"/>
      <c r="N3" s="69"/>
      <c r="O3" s="69"/>
      <c r="P3" s="69" t="s">
        <v>6</v>
      </c>
      <c r="Q3" s="69"/>
      <c r="R3" s="69"/>
      <c r="S3" s="69"/>
      <c r="T3" s="70" t="s">
        <v>7</v>
      </c>
      <c r="U3" s="70" t="s">
        <v>44</v>
      </c>
      <c r="V3" s="70" t="s">
        <v>45</v>
      </c>
      <c r="W3" s="70" t="s">
        <v>46</v>
      </c>
      <c r="X3" s="70" t="s">
        <v>47</v>
      </c>
    </row>
    <row r="4" spans="1:24" ht="90" customHeight="1">
      <c r="A4" s="69"/>
      <c r="B4" s="69"/>
      <c r="C4" s="71"/>
      <c r="D4" s="3" t="s">
        <v>8</v>
      </c>
      <c r="E4" s="46" t="s">
        <v>64</v>
      </c>
      <c r="F4" s="3" t="s">
        <v>9</v>
      </c>
      <c r="G4" s="3" t="str">
        <f>"Налоговый потенциал по репрезента-тивной налоговой ставке  "&amp;FIXED(F16,6)&amp;", контингент"</f>
        <v>Налоговый потенциал по репрезента-тивной налоговой ставке  0,130000, контингент</v>
      </c>
      <c r="H4" s="3" t="s">
        <v>12</v>
      </c>
      <c r="I4" s="46" t="s">
        <v>65</v>
      </c>
      <c r="J4" s="3" t="s">
        <v>9</v>
      </c>
      <c r="K4" s="3" t="str">
        <f>"Налоговый потенциал по репрезента-тивной налоговой ставке  "&amp;FIXED(J16,6)&amp;", контингент"</f>
        <v>Налоговый потенциал по репрезента-тивной налоговой ставке  0,003000, контингент</v>
      </c>
      <c r="L4" s="3" t="s">
        <v>12</v>
      </c>
      <c r="M4" s="46" t="s">
        <v>65</v>
      </c>
      <c r="N4" s="3" t="s">
        <v>9</v>
      </c>
      <c r="O4" s="3" t="str">
        <f>"Налоговый потенциал по репрезента-тивной налоговой ставке  "&amp;FIXED(N16,6)&amp;", контингент"</f>
        <v>Налоговый потенциал по репрезента-тивной налоговой ставке  0,003040, контингент</v>
      </c>
      <c r="P4" s="3" t="s">
        <v>12</v>
      </c>
      <c r="Q4" s="46" t="s">
        <v>66</v>
      </c>
      <c r="R4" s="3" t="s">
        <v>9</v>
      </c>
      <c r="S4" s="3" t="str">
        <f>"Налоговый потенциал по репрезента-тивной налоговой ставке  "&amp;FIXED(R16,6)&amp;", контингент"</f>
        <v>Налоговый потенциал по репрезента-тивной налоговой ставке  0,030005, контингент</v>
      </c>
      <c r="T4" s="70"/>
      <c r="U4" s="70"/>
      <c r="V4" s="70"/>
      <c r="W4" s="70"/>
      <c r="X4" s="70"/>
    </row>
    <row r="5" spans="1:24" s="5" customFormat="1" ht="11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2.75">
      <c r="A6" s="6">
        <v>1</v>
      </c>
      <c r="B6" s="7" t="s">
        <v>48</v>
      </c>
      <c r="C6" s="49">
        <v>8903</v>
      </c>
      <c r="D6" s="57">
        <v>1631004.2</v>
      </c>
      <c r="E6" s="57"/>
      <c r="F6" s="10" t="s">
        <v>10</v>
      </c>
      <c r="G6" s="11">
        <f aca="true" t="shared" si="0" ref="G6:G15">D6*$F$16*0.1</f>
        <v>21203.054655091022</v>
      </c>
      <c r="H6" s="57">
        <v>2395333.3</v>
      </c>
      <c r="I6" s="57">
        <v>7186</v>
      </c>
      <c r="J6" s="10" t="s">
        <v>10</v>
      </c>
      <c r="K6" s="11">
        <f aca="true" t="shared" si="1" ref="K6:K15">H6*$J$16</f>
        <v>7186.000530552057</v>
      </c>
      <c r="L6" s="57">
        <v>1487666.7</v>
      </c>
      <c r="M6" s="57">
        <v>4531</v>
      </c>
      <c r="N6" s="10" t="s">
        <v>10</v>
      </c>
      <c r="O6" s="11">
        <f aca="true" t="shared" si="2" ref="O6:O15">L6*$N$16</f>
        <v>4521.970703570683</v>
      </c>
      <c r="P6" s="57">
        <v>38333.3</v>
      </c>
      <c r="Q6" s="57">
        <v>1150</v>
      </c>
      <c r="R6" s="10" t="s">
        <v>10</v>
      </c>
      <c r="S6" s="11">
        <f aca="true" t="shared" si="3" ref="S6:S15">P6*$R$16</f>
        <v>1150.1793028726413</v>
      </c>
      <c r="T6" s="11">
        <f aca="true" t="shared" si="4" ref="T6:T16">S6+O6+K6+G6</f>
        <v>34061.2051920864</v>
      </c>
      <c r="U6" s="45">
        <v>607.2</v>
      </c>
      <c r="V6" s="11">
        <f>T6+U6</f>
        <v>34668.4051920864</v>
      </c>
      <c r="W6" s="11">
        <f>IF(C6&lt;&gt;0,V6/C6,0)</f>
        <v>3.8940138371432553</v>
      </c>
      <c r="X6" s="36">
        <f aca="true" t="shared" si="5" ref="X6:X16">IF($W$16&lt;&gt;0,W6/$W$16,0)</f>
        <v>1.2009970011477025</v>
      </c>
    </row>
    <row r="7" spans="1:24" ht="12.75">
      <c r="A7" s="6">
        <v>2</v>
      </c>
      <c r="B7" s="7" t="s">
        <v>49</v>
      </c>
      <c r="C7" s="49">
        <v>4527</v>
      </c>
      <c r="D7" s="57">
        <v>523738.4</v>
      </c>
      <c r="E7" s="57"/>
      <c r="F7" s="10" t="s">
        <v>10</v>
      </c>
      <c r="G7" s="11">
        <f t="shared" si="0"/>
        <v>6808.599217690503</v>
      </c>
      <c r="H7" s="57">
        <v>145333.3</v>
      </c>
      <c r="I7" s="57">
        <v>436</v>
      </c>
      <c r="J7" s="10" t="s">
        <v>10</v>
      </c>
      <c r="K7" s="11">
        <f t="shared" si="1"/>
        <v>435.9999382578121</v>
      </c>
      <c r="L7" s="57">
        <v>547433.3</v>
      </c>
      <c r="M7" s="57">
        <v>1663</v>
      </c>
      <c r="N7" s="10" t="s">
        <v>10</v>
      </c>
      <c r="O7" s="11">
        <f t="shared" si="2"/>
        <v>1663.999970395937</v>
      </c>
      <c r="P7" s="57">
        <v>43666.7</v>
      </c>
      <c r="Q7" s="57">
        <v>1310</v>
      </c>
      <c r="R7" s="10" t="s">
        <v>10</v>
      </c>
      <c r="S7" s="11">
        <f t="shared" si="3"/>
        <v>1310.2063888250884</v>
      </c>
      <c r="T7" s="11">
        <f t="shared" si="4"/>
        <v>10218.80551516934</v>
      </c>
      <c r="U7" s="45">
        <v>308.7</v>
      </c>
      <c r="V7" s="11">
        <f aca="true" t="shared" si="6" ref="V7:V15">T7+U7</f>
        <v>10527.505515169341</v>
      </c>
      <c r="W7" s="11">
        <f aca="true" t="shared" si="7" ref="W7:W16">IF(C7&lt;&gt;0,V7/C7,0)</f>
        <v>2.325492713755101</v>
      </c>
      <c r="X7" s="36">
        <f t="shared" si="5"/>
        <v>0.7172316001474859</v>
      </c>
    </row>
    <row r="8" spans="1:24" ht="12.75">
      <c r="A8" s="6">
        <v>3</v>
      </c>
      <c r="B8" s="7" t="s">
        <v>50</v>
      </c>
      <c r="C8" s="49">
        <v>2444</v>
      </c>
      <c r="D8" s="57">
        <v>282751.6</v>
      </c>
      <c r="E8" s="57"/>
      <c r="F8" s="10" t="s">
        <v>10</v>
      </c>
      <c r="G8" s="11">
        <f t="shared" si="0"/>
        <v>3675.770809550604</v>
      </c>
      <c r="H8" s="57">
        <v>448333.3</v>
      </c>
      <c r="I8" s="57">
        <v>1345</v>
      </c>
      <c r="J8" s="10" t="s">
        <v>10</v>
      </c>
      <c r="K8" s="11">
        <f t="shared" si="1"/>
        <v>1345.0000180201039</v>
      </c>
      <c r="L8" s="57">
        <v>948000</v>
      </c>
      <c r="M8" s="57">
        <v>2880.5</v>
      </c>
      <c r="N8" s="10" t="s">
        <v>10</v>
      </c>
      <c r="O8" s="11">
        <f t="shared" si="2"/>
        <v>2881.578398565356</v>
      </c>
      <c r="P8" s="57">
        <v>53393.3</v>
      </c>
      <c r="Q8" s="57">
        <v>1601.8</v>
      </c>
      <c r="R8" s="10" t="s">
        <v>10</v>
      </c>
      <c r="S8" s="11">
        <f t="shared" si="3"/>
        <v>1602.0501384454194</v>
      </c>
      <c r="T8" s="11">
        <f t="shared" si="4"/>
        <v>9504.399364581484</v>
      </c>
      <c r="U8" s="45">
        <v>166.7</v>
      </c>
      <c r="V8" s="11">
        <f t="shared" si="6"/>
        <v>9671.099364581485</v>
      </c>
      <c r="W8" s="11">
        <f t="shared" si="7"/>
        <v>3.957078299746925</v>
      </c>
      <c r="X8" s="36">
        <f t="shared" si="5"/>
        <v>1.2204474277855195</v>
      </c>
    </row>
    <row r="9" spans="1:24" ht="12.75">
      <c r="A9" s="6">
        <v>4</v>
      </c>
      <c r="B9" s="7" t="s">
        <v>51</v>
      </c>
      <c r="C9" s="49">
        <v>689</v>
      </c>
      <c r="D9" s="57">
        <v>79711.9</v>
      </c>
      <c r="E9" s="57"/>
      <c r="F9" s="10" t="s">
        <v>10</v>
      </c>
      <c r="G9" s="11">
        <f t="shared" si="0"/>
        <v>1036.2547026924578</v>
      </c>
      <c r="H9" s="57">
        <v>394000</v>
      </c>
      <c r="I9" s="57">
        <v>1182</v>
      </c>
      <c r="J9" s="10" t="s">
        <v>10</v>
      </c>
      <c r="K9" s="11">
        <f t="shared" si="1"/>
        <v>1182.0001037173035</v>
      </c>
      <c r="L9" s="57">
        <v>1054166.7</v>
      </c>
      <c r="M9" s="57">
        <v>3202.4</v>
      </c>
      <c r="N9" s="10" t="s">
        <v>10</v>
      </c>
      <c r="O9" s="11">
        <f t="shared" si="2"/>
        <v>3204.286910555829</v>
      </c>
      <c r="P9" s="57">
        <v>42333.3</v>
      </c>
      <c r="Q9" s="57">
        <v>1270</v>
      </c>
      <c r="R9" s="10" t="s">
        <v>10</v>
      </c>
      <c r="S9" s="11">
        <f t="shared" si="3"/>
        <v>1270.1981171017987</v>
      </c>
      <c r="T9" s="11">
        <f t="shared" si="4"/>
        <v>6692.739834067388</v>
      </c>
      <c r="U9" s="45">
        <v>47</v>
      </c>
      <c r="V9" s="11">
        <f t="shared" si="6"/>
        <v>6739.739834067388</v>
      </c>
      <c r="W9" s="11">
        <f t="shared" si="7"/>
        <v>9.781915579197952</v>
      </c>
      <c r="X9" s="36">
        <f t="shared" si="5"/>
        <v>3.0169515999243064</v>
      </c>
    </row>
    <row r="10" spans="1:24" ht="12.75">
      <c r="A10" s="6">
        <v>5</v>
      </c>
      <c r="B10" s="7" t="s">
        <v>52</v>
      </c>
      <c r="C10" s="49">
        <v>1914</v>
      </c>
      <c r="D10" s="57">
        <v>72516</v>
      </c>
      <c r="E10" s="57"/>
      <c r="F10" s="10" t="s">
        <v>10</v>
      </c>
      <c r="G10" s="11">
        <f t="shared" si="0"/>
        <v>942.7080024493995</v>
      </c>
      <c r="H10" s="57">
        <v>64333.3</v>
      </c>
      <c r="I10" s="57">
        <v>193</v>
      </c>
      <c r="J10" s="10" t="s">
        <v>10</v>
      </c>
      <c r="K10" s="11">
        <f t="shared" si="1"/>
        <v>192.99991693521932</v>
      </c>
      <c r="L10" s="57">
        <v>281133.3</v>
      </c>
      <c r="M10" s="57">
        <v>853.6</v>
      </c>
      <c r="N10" s="10" t="s">
        <v>10</v>
      </c>
      <c r="O10" s="11">
        <f t="shared" si="2"/>
        <v>854.5439286892339</v>
      </c>
      <c r="P10" s="57">
        <v>5200</v>
      </c>
      <c r="Q10" s="57">
        <v>156</v>
      </c>
      <c r="R10" s="10" t="s">
        <v>10</v>
      </c>
      <c r="S10" s="11">
        <f t="shared" si="3"/>
        <v>156.02445849790482</v>
      </c>
      <c r="T10" s="11">
        <f t="shared" si="4"/>
        <v>2146.2763065717577</v>
      </c>
      <c r="U10" s="45">
        <v>130.5</v>
      </c>
      <c r="V10" s="11">
        <f t="shared" si="6"/>
        <v>2276.7763065717577</v>
      </c>
      <c r="W10" s="11">
        <f t="shared" si="7"/>
        <v>1.1895383001942308</v>
      </c>
      <c r="X10" s="36">
        <f t="shared" si="5"/>
        <v>0.3668790073770478</v>
      </c>
    </row>
    <row r="11" spans="1:24" ht="12.75">
      <c r="A11" s="6">
        <v>6</v>
      </c>
      <c r="B11" s="7" t="s">
        <v>53</v>
      </c>
      <c r="C11" s="49">
        <v>1717</v>
      </c>
      <c r="D11" s="57">
        <v>172566</v>
      </c>
      <c r="E11" s="57"/>
      <c r="F11" s="10" t="s">
        <v>10</v>
      </c>
      <c r="G11" s="11">
        <f t="shared" si="0"/>
        <v>2243.358005828825</v>
      </c>
      <c r="H11" s="57">
        <v>156666.6</v>
      </c>
      <c r="I11" s="57">
        <v>470</v>
      </c>
      <c r="J11" s="10" t="s">
        <v>10</v>
      </c>
      <c r="K11" s="11">
        <f t="shared" si="1"/>
        <v>469.99984124121147</v>
      </c>
      <c r="L11" s="57">
        <v>794333.3</v>
      </c>
      <c r="M11" s="57">
        <v>2410.8</v>
      </c>
      <c r="N11" s="10" t="s">
        <v>10</v>
      </c>
      <c r="O11" s="11">
        <f t="shared" si="2"/>
        <v>2414.4870026805215</v>
      </c>
      <c r="P11" s="57">
        <v>121836.6</v>
      </c>
      <c r="Q11" s="57">
        <v>3655.1</v>
      </c>
      <c r="R11" s="10" t="s">
        <v>10</v>
      </c>
      <c r="S11" s="11">
        <f t="shared" si="3"/>
        <v>3655.671065428044</v>
      </c>
      <c r="T11" s="11">
        <f t="shared" si="4"/>
        <v>8783.515915178601</v>
      </c>
      <c r="U11" s="45">
        <v>117.1</v>
      </c>
      <c r="V11" s="11">
        <f t="shared" si="6"/>
        <v>8900.615915178601</v>
      </c>
      <c r="W11" s="11">
        <f t="shared" si="7"/>
        <v>5.183818238310193</v>
      </c>
      <c r="X11" s="36">
        <f t="shared" si="5"/>
        <v>1.5988002146578586</v>
      </c>
    </row>
    <row r="12" spans="1:24" ht="12.75">
      <c r="A12" s="6">
        <v>7</v>
      </c>
      <c r="B12" s="7" t="s">
        <v>54</v>
      </c>
      <c r="C12" s="49">
        <v>843</v>
      </c>
      <c r="D12" s="57">
        <v>23564</v>
      </c>
      <c r="E12" s="57"/>
      <c r="F12" s="10" t="s">
        <v>10</v>
      </c>
      <c r="G12" s="11">
        <f t="shared" si="0"/>
        <v>306.33200079592984</v>
      </c>
      <c r="H12" s="57">
        <v>99333.3</v>
      </c>
      <c r="I12" s="57">
        <v>298</v>
      </c>
      <c r="J12" s="10" t="s">
        <v>10</v>
      </c>
      <c r="K12" s="11">
        <f t="shared" si="1"/>
        <v>297.99992614868535</v>
      </c>
      <c r="L12" s="57">
        <v>370566.7</v>
      </c>
      <c r="M12" s="57">
        <v>1129</v>
      </c>
      <c r="N12" s="10" t="s">
        <v>10</v>
      </c>
      <c r="O12" s="11">
        <f t="shared" si="2"/>
        <v>1126.3892383414016</v>
      </c>
      <c r="P12" s="57">
        <v>6</v>
      </c>
      <c r="Q12" s="57">
        <v>1.8</v>
      </c>
      <c r="R12" s="10" t="s">
        <v>10</v>
      </c>
      <c r="S12" s="11">
        <f t="shared" si="3"/>
        <v>0.1800282213437363</v>
      </c>
      <c r="T12" s="11">
        <f t="shared" si="4"/>
        <v>1730.9011935073604</v>
      </c>
      <c r="U12" s="45">
        <v>57.5</v>
      </c>
      <c r="V12" s="11">
        <f t="shared" si="6"/>
        <v>1788.4011935073604</v>
      </c>
      <c r="W12" s="11">
        <f t="shared" si="7"/>
        <v>2.1214723529150183</v>
      </c>
      <c r="X12" s="36">
        <f t="shared" si="5"/>
        <v>0.6543073652090272</v>
      </c>
    </row>
    <row r="13" spans="1:24" ht="12.75">
      <c r="A13" s="6">
        <v>8</v>
      </c>
      <c r="B13" s="7" t="s">
        <v>55</v>
      </c>
      <c r="C13" s="49">
        <v>1950</v>
      </c>
      <c r="D13" s="57">
        <v>88996.2</v>
      </c>
      <c r="E13" s="57"/>
      <c r="F13" s="10" t="s">
        <v>10</v>
      </c>
      <c r="G13" s="11">
        <f t="shared" si="0"/>
        <v>1156.9506030060572</v>
      </c>
      <c r="H13" s="57">
        <v>253000</v>
      </c>
      <c r="I13" s="57">
        <v>759</v>
      </c>
      <c r="J13" s="10" t="s">
        <v>10</v>
      </c>
      <c r="K13" s="11">
        <f t="shared" si="1"/>
        <v>759.0000666001974</v>
      </c>
      <c r="L13" s="57">
        <v>646766.7</v>
      </c>
      <c r="M13" s="57">
        <v>1964.3</v>
      </c>
      <c r="N13" s="10" t="s">
        <v>10</v>
      </c>
      <c r="O13" s="11">
        <f t="shared" si="2"/>
        <v>1965.93771269135</v>
      </c>
      <c r="P13" s="57">
        <v>39500</v>
      </c>
      <c r="Q13" s="57">
        <v>1185</v>
      </c>
      <c r="R13" s="10" t="s">
        <v>10</v>
      </c>
      <c r="S13" s="11">
        <f t="shared" si="3"/>
        <v>1185.1857905129307</v>
      </c>
      <c r="T13" s="11">
        <f t="shared" si="4"/>
        <v>5067.074172810535</v>
      </c>
      <c r="U13" s="45">
        <v>133</v>
      </c>
      <c r="V13" s="11">
        <f t="shared" si="6"/>
        <v>5200.074172810535</v>
      </c>
      <c r="W13" s="11">
        <f t="shared" si="7"/>
        <v>2.6667047040054026</v>
      </c>
      <c r="X13" s="36">
        <f t="shared" si="5"/>
        <v>0.8224686625167575</v>
      </c>
    </row>
    <row r="14" spans="1:24" ht="12.75">
      <c r="A14" s="6">
        <v>9</v>
      </c>
      <c r="B14" s="7" t="s">
        <v>56</v>
      </c>
      <c r="C14" s="49">
        <v>678</v>
      </c>
      <c r="D14" s="57">
        <v>17899</v>
      </c>
      <c r="E14" s="57"/>
      <c r="F14" s="10" t="s">
        <v>10</v>
      </c>
      <c r="G14" s="11">
        <f t="shared" si="0"/>
        <v>232.68700060458104</v>
      </c>
      <c r="H14" s="57">
        <v>55666.6</v>
      </c>
      <c r="I14" s="57">
        <v>167</v>
      </c>
      <c r="J14" s="10" t="s">
        <v>10</v>
      </c>
      <c r="K14" s="11">
        <f t="shared" si="1"/>
        <v>166.99981465378082</v>
      </c>
      <c r="L14" s="57">
        <v>121666.7</v>
      </c>
      <c r="M14" s="57">
        <v>369</v>
      </c>
      <c r="N14" s="10" t="s">
        <v>10</v>
      </c>
      <c r="O14" s="11">
        <f t="shared" si="2"/>
        <v>369.8229267349489</v>
      </c>
      <c r="P14" s="57">
        <v>393.3</v>
      </c>
      <c r="Q14" s="57">
        <v>11.8</v>
      </c>
      <c r="R14" s="10" t="s">
        <v>10</v>
      </c>
      <c r="S14" s="11">
        <f t="shared" si="3"/>
        <v>11.800849909081915</v>
      </c>
      <c r="T14" s="11">
        <f t="shared" si="4"/>
        <v>781.3105919023927</v>
      </c>
      <c r="U14" s="45">
        <v>46.2</v>
      </c>
      <c r="V14" s="11">
        <f t="shared" si="6"/>
        <v>827.5105919023928</v>
      </c>
      <c r="W14" s="11">
        <f t="shared" si="7"/>
        <v>1.2205170972011692</v>
      </c>
      <c r="X14" s="36">
        <f t="shared" si="5"/>
        <v>0.37643352974407446</v>
      </c>
    </row>
    <row r="15" spans="1:24" ht="12.75">
      <c r="A15" s="6">
        <v>10</v>
      </c>
      <c r="B15" s="7" t="s">
        <v>57</v>
      </c>
      <c r="C15" s="49">
        <v>1925</v>
      </c>
      <c r="D15" s="57">
        <v>67815</v>
      </c>
      <c r="E15" s="57"/>
      <c r="F15" s="10" t="s">
        <v>10</v>
      </c>
      <c r="G15" s="11">
        <f t="shared" si="0"/>
        <v>881.595002290612</v>
      </c>
      <c r="H15" s="57">
        <v>166666.6</v>
      </c>
      <c r="I15" s="57">
        <v>500</v>
      </c>
      <c r="J15" s="10" t="s">
        <v>10</v>
      </c>
      <c r="K15" s="11">
        <f t="shared" si="1"/>
        <v>499.9998438736303</v>
      </c>
      <c r="L15" s="57">
        <v>272033.3</v>
      </c>
      <c r="M15" s="57">
        <v>826.3</v>
      </c>
      <c r="N15" s="10" t="s">
        <v>10</v>
      </c>
      <c r="O15" s="11">
        <f t="shared" si="2"/>
        <v>826.8832077747353</v>
      </c>
      <c r="P15" s="57">
        <v>1033.3</v>
      </c>
      <c r="Q15" s="57">
        <v>31</v>
      </c>
      <c r="R15" s="10" t="s">
        <v>10</v>
      </c>
      <c r="S15" s="11">
        <f t="shared" si="3"/>
        <v>31.003860185747122</v>
      </c>
      <c r="T15" s="11">
        <f t="shared" si="4"/>
        <v>2239.4819141247244</v>
      </c>
      <c r="U15" s="45">
        <v>131.3</v>
      </c>
      <c r="V15" s="11">
        <f t="shared" si="6"/>
        <v>2370.7819141247246</v>
      </c>
      <c r="W15" s="11">
        <f t="shared" si="7"/>
        <v>1.2315750203245324</v>
      </c>
      <c r="X15" s="36">
        <f t="shared" si="5"/>
        <v>0.3798440293122588</v>
      </c>
    </row>
    <row r="16" spans="1:24" ht="12.75">
      <c r="A16" s="12"/>
      <c r="B16" s="13" t="s">
        <v>11</v>
      </c>
      <c r="C16" s="13">
        <f>SUM(C6:C15)</f>
        <v>25590</v>
      </c>
      <c r="D16" s="14">
        <f>SUM(D6:D15)</f>
        <v>2960562.3000000003</v>
      </c>
      <c r="E16" s="14">
        <v>384873.1</v>
      </c>
      <c r="F16" s="13">
        <f>IF(D16&lt;&gt;0,E16/D16,0)</f>
        <v>0.13000000033777365</v>
      </c>
      <c r="G16" s="14">
        <f>SUM(G6:G15)</f>
        <v>38487.30999999999</v>
      </c>
      <c r="H16" s="14">
        <f>SUM(H6:H15)</f>
        <v>4178666.2999999993</v>
      </c>
      <c r="I16" s="14">
        <f>SUM(I6:I15)</f>
        <v>12536</v>
      </c>
      <c r="J16" s="13">
        <f>IF(H16&lt;&gt;0,I16/H16,0)</f>
        <v>0.003000000263241887</v>
      </c>
      <c r="K16" s="14">
        <f>SUM(K6:K15)</f>
        <v>12536.000000000002</v>
      </c>
      <c r="L16" s="14">
        <f>SUM(L6:L15)</f>
        <v>6523766.7</v>
      </c>
      <c r="M16" s="14">
        <f>SUM(M6:M15)</f>
        <v>19829.899999999998</v>
      </c>
      <c r="N16" s="13">
        <f>IF(L16&lt;&gt;0,M16/L16,0)</f>
        <v>0.00303963966093392</v>
      </c>
      <c r="O16" s="14">
        <f>SUM(O6:O15)</f>
        <v>19829.899999999998</v>
      </c>
      <c r="P16" s="14">
        <f>P6+P7+P8+P9+P10+P11+P12+P13++P14+P15</f>
        <v>345695.79999999993</v>
      </c>
      <c r="Q16" s="14">
        <f>SUM(Q6:Q15)</f>
        <v>10372.499999999998</v>
      </c>
      <c r="R16" s="13">
        <f>IF(P16&lt;&gt;0,Q16/P16,0)</f>
        <v>0.030004703557289385</v>
      </c>
      <c r="S16" s="14">
        <f>SUM(S6:S15)</f>
        <v>10372.5</v>
      </c>
      <c r="T16" s="14">
        <f t="shared" si="4"/>
        <v>81225.70999999999</v>
      </c>
      <c r="U16" s="14">
        <f>SUM(U6:U15)</f>
        <v>1745.2</v>
      </c>
      <c r="V16" s="14">
        <f>U16+T16</f>
        <v>82970.90999999999</v>
      </c>
      <c r="W16" s="42">
        <f t="shared" si="7"/>
        <v>3.242317702227432</v>
      </c>
      <c r="X16" s="14">
        <f t="shared" si="5"/>
        <v>1</v>
      </c>
    </row>
  </sheetData>
  <sheetProtection/>
  <mergeCells count="13">
    <mergeCell ref="C1:K1"/>
    <mergeCell ref="A3:A4"/>
    <mergeCell ref="B3:B4"/>
    <mergeCell ref="C3:C4"/>
    <mergeCell ref="D3:G3"/>
    <mergeCell ref="H3:K3"/>
    <mergeCell ref="X3:X4"/>
    <mergeCell ref="L3:O3"/>
    <mergeCell ref="P3:S3"/>
    <mergeCell ref="T3:T4"/>
    <mergeCell ref="U3:U4"/>
    <mergeCell ref="V3:V4"/>
    <mergeCell ref="W3:W4"/>
  </mergeCells>
  <printOptions horizontalCentered="1" verticalCentered="1"/>
  <pageMargins left="0.31496062992125984" right="0.1968503937007874" top="0.1968503937007874" bottom="0.1968503937007874" header="0.15748031496062992" footer="0.15748031496062992"/>
  <pageSetup horizontalDpi="600" verticalDpi="600" orientation="landscape" paperSize="9" scale="70" r:id="rId1"/>
  <colBreaks count="1" manualBreakCount="1">
    <brk id="15" max="2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SheetLayoutView="11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26" sqref="K26"/>
    </sheetView>
  </sheetViews>
  <sheetFormatPr defaultColWidth="8.00390625" defaultRowHeight="12.75"/>
  <cols>
    <col min="1" max="1" width="3.25390625" style="1" customWidth="1"/>
    <col min="2" max="2" width="22.125" style="1" customWidth="1"/>
    <col min="3" max="7" width="10.875" style="1" customWidth="1"/>
    <col min="8" max="8" width="9.875" style="1" customWidth="1"/>
    <col min="9" max="9" width="12.125" style="1" customWidth="1"/>
    <col min="10" max="10" width="10.625" style="1" customWidth="1"/>
    <col min="11" max="11" width="10.125" style="1" customWidth="1"/>
    <col min="12" max="12" width="9.25390625" style="1" customWidth="1"/>
    <col min="13" max="14" width="9.00390625" style="1" customWidth="1"/>
    <col min="15" max="16384" width="8.00390625" style="1" customWidth="1"/>
  </cols>
  <sheetData>
    <row r="1" spans="3:8" ht="27" customHeight="1">
      <c r="C1" s="58" t="s">
        <v>70</v>
      </c>
      <c r="D1" s="58"/>
      <c r="E1" s="58"/>
      <c r="F1" s="58"/>
      <c r="G1" s="58"/>
      <c r="H1" s="58"/>
    </row>
    <row r="2" ht="12"/>
    <row r="3" spans="1:12" ht="30.75" customHeight="1">
      <c r="A3" s="69" t="s">
        <v>0</v>
      </c>
      <c r="B3" s="69" t="s">
        <v>1</v>
      </c>
      <c r="C3" s="71" t="s">
        <v>2</v>
      </c>
      <c r="D3" s="70" t="s">
        <v>47</v>
      </c>
      <c r="E3" s="65" t="s">
        <v>18</v>
      </c>
      <c r="F3" s="65" t="s">
        <v>14</v>
      </c>
      <c r="G3" s="65" t="s">
        <v>15</v>
      </c>
      <c r="H3" s="65" t="s">
        <v>17</v>
      </c>
      <c r="I3" s="59" t="s">
        <v>42</v>
      </c>
      <c r="J3" s="59" t="s">
        <v>40</v>
      </c>
      <c r="K3" s="65" t="s">
        <v>43</v>
      </c>
      <c r="L3" s="59" t="s">
        <v>41</v>
      </c>
    </row>
    <row r="4" spans="1:14" ht="90" customHeight="1">
      <c r="A4" s="69"/>
      <c r="B4" s="69"/>
      <c r="C4" s="71"/>
      <c r="D4" s="70"/>
      <c r="E4" s="66"/>
      <c r="F4" s="66"/>
      <c r="G4" s="66"/>
      <c r="H4" s="66"/>
      <c r="I4" s="59"/>
      <c r="J4" s="59"/>
      <c r="K4" s="66"/>
      <c r="L4" s="59"/>
      <c r="N4" s="48"/>
    </row>
    <row r="5" spans="1:12" s="5" customFormat="1" ht="12">
      <c r="A5" s="4"/>
      <c r="B5" s="4"/>
      <c r="C5" s="4"/>
      <c r="D5" s="4"/>
      <c r="E5" s="4"/>
      <c r="F5" s="4"/>
      <c r="G5" s="16">
        <v>0.49</v>
      </c>
      <c r="H5" s="16">
        <v>4981.1</v>
      </c>
      <c r="I5" s="4"/>
      <c r="J5" s="4"/>
      <c r="K5" s="4"/>
      <c r="L5" s="4"/>
    </row>
    <row r="6" spans="1:17" ht="12.75">
      <c r="A6" s="6">
        <v>1</v>
      </c>
      <c r="B6" s="7" t="s">
        <v>48</v>
      </c>
      <c r="C6" s="49">
        <v>8903</v>
      </c>
      <c r="D6" s="28">
        <f>'ИНП 2024'!X6</f>
        <v>1.1424114856481409</v>
      </c>
      <c r="E6" s="28">
        <f>'ИБР 2024'!Y6</f>
        <v>0.7601203580502163</v>
      </c>
      <c r="F6" s="36">
        <f>IF(E6&lt;&gt;0,D6/E6,0)</f>
        <v>1.5029349938456313</v>
      </c>
      <c r="G6" s="17">
        <f aca="true" t="shared" si="0" ref="G6:G15">IF(F6&lt;$G$5,($G$5-F6)*E6*$G$18*C6/$C$16,0)</f>
        <v>0</v>
      </c>
      <c r="H6" s="17">
        <f aca="true" t="shared" si="1" ref="H6:H16">IF($G$16&lt;&gt;0,ROUND(G6/$G$16*$H$5,1),0)</f>
        <v>0</v>
      </c>
      <c r="I6" s="47">
        <f>49309.1+M6</f>
        <v>49916.299999999996</v>
      </c>
      <c r="J6" s="40">
        <f>I6+H6</f>
        <v>49916.299999999996</v>
      </c>
      <c r="K6" s="41">
        <v>25612.8</v>
      </c>
      <c r="L6" s="40">
        <f>J6-K6</f>
        <v>24303.499999999996</v>
      </c>
      <c r="M6" s="45">
        <v>607.2</v>
      </c>
      <c r="N6" s="50"/>
      <c r="P6" s="54"/>
      <c r="Q6" s="44"/>
    </row>
    <row r="7" spans="1:17" ht="14.25">
      <c r="A7" s="6">
        <v>2</v>
      </c>
      <c r="B7" s="7" t="s">
        <v>49</v>
      </c>
      <c r="C7" s="49">
        <v>4527</v>
      </c>
      <c r="D7" s="28">
        <f>'ИНП 2024'!X7</f>
        <v>0.6582754657059638</v>
      </c>
      <c r="E7" s="28">
        <f>'ИБР 2024'!Y7</f>
        <v>0.8999829595340566</v>
      </c>
      <c r="F7" s="36">
        <f aca="true" t="shared" si="2" ref="F7:F16">IF(E7&lt;&gt;0,D7/E7,0)</f>
        <v>0.731431032923967</v>
      </c>
      <c r="G7" s="17">
        <f t="shared" si="0"/>
        <v>0</v>
      </c>
      <c r="H7" s="17">
        <f t="shared" si="1"/>
        <v>0</v>
      </c>
      <c r="I7" s="47">
        <f>20526.9+M7</f>
        <v>20835.600000000002</v>
      </c>
      <c r="J7" s="40">
        <f aca="true" t="shared" si="3" ref="J7:J16">I7+H7</f>
        <v>20835.600000000002</v>
      </c>
      <c r="K7" s="41">
        <v>14031</v>
      </c>
      <c r="L7" s="40">
        <f aca="true" t="shared" si="4" ref="L7:L16">J7-K7</f>
        <v>6804.600000000002</v>
      </c>
      <c r="M7" s="45">
        <v>308.7</v>
      </c>
      <c r="N7" s="51"/>
      <c r="P7" s="54"/>
      <c r="Q7" s="44"/>
    </row>
    <row r="8" spans="1:17" ht="14.25">
      <c r="A8" s="6">
        <v>3</v>
      </c>
      <c r="B8" s="7" t="s">
        <v>50</v>
      </c>
      <c r="C8" s="49">
        <v>2444</v>
      </c>
      <c r="D8" s="28">
        <f>'ИНП 2024'!X8</f>
        <v>1.439301507305482</v>
      </c>
      <c r="E8" s="28">
        <f>'ИБР 2024'!Y8</f>
        <v>0.9540850022984666</v>
      </c>
      <c r="F8" s="36">
        <f t="shared" si="2"/>
        <v>1.5085673748545363</v>
      </c>
      <c r="G8" s="17">
        <f t="shared" si="0"/>
        <v>0</v>
      </c>
      <c r="H8" s="17">
        <f t="shared" si="1"/>
        <v>0</v>
      </c>
      <c r="I8" s="47">
        <f>12109.1+M8</f>
        <v>12275.800000000001</v>
      </c>
      <c r="J8" s="40">
        <f t="shared" si="3"/>
        <v>12275.800000000001</v>
      </c>
      <c r="K8" s="41">
        <v>9693</v>
      </c>
      <c r="L8" s="40">
        <f t="shared" si="4"/>
        <v>2582.800000000001</v>
      </c>
      <c r="M8" s="45">
        <v>166.7</v>
      </c>
      <c r="N8" s="51"/>
      <c r="P8" s="54"/>
      <c r="Q8" s="44"/>
    </row>
    <row r="9" spans="1:17" ht="14.25">
      <c r="A9" s="6">
        <v>4</v>
      </c>
      <c r="B9" s="7" t="s">
        <v>51</v>
      </c>
      <c r="C9" s="49">
        <v>689</v>
      </c>
      <c r="D9" s="28">
        <f>'ИНП 2024'!X9</f>
        <v>3.0396090623702947</v>
      </c>
      <c r="E9" s="28">
        <f>'ИБР 2024'!Y9</f>
        <v>1.9202094124205686</v>
      </c>
      <c r="F9" s="36">
        <f t="shared" si="2"/>
        <v>1.582957068489024</v>
      </c>
      <c r="G9" s="17">
        <f t="shared" si="0"/>
        <v>0</v>
      </c>
      <c r="H9" s="17">
        <f t="shared" si="1"/>
        <v>0</v>
      </c>
      <c r="I9" s="47">
        <f>8052.8+M9</f>
        <v>8099.8</v>
      </c>
      <c r="J9" s="40">
        <f t="shared" si="3"/>
        <v>8099.8</v>
      </c>
      <c r="K9" s="41">
        <v>3792.4</v>
      </c>
      <c r="L9" s="40">
        <f t="shared" si="4"/>
        <v>4307.4</v>
      </c>
      <c r="M9" s="45">
        <v>47</v>
      </c>
      <c r="N9" s="51"/>
      <c r="P9" s="54"/>
      <c r="Q9" s="44"/>
    </row>
    <row r="10" spans="1:17" ht="14.25">
      <c r="A10" s="6">
        <v>5</v>
      </c>
      <c r="B10" s="7" t="s">
        <v>52</v>
      </c>
      <c r="C10" s="49">
        <v>1914</v>
      </c>
      <c r="D10" s="28">
        <f>'ИНП 2024'!X10</f>
        <v>0.3894870188139689</v>
      </c>
      <c r="E10" s="28">
        <f>'ИБР 2024'!Y10</f>
        <v>1.214430690107013</v>
      </c>
      <c r="F10" s="36">
        <f t="shared" si="2"/>
        <v>0.3207157246492578</v>
      </c>
      <c r="G10" s="17">
        <f t="shared" si="0"/>
        <v>1882.8338034526946</v>
      </c>
      <c r="H10" s="17">
        <f t="shared" si="1"/>
        <v>1882.8</v>
      </c>
      <c r="I10" s="47">
        <f>5047.6+M10</f>
        <v>5178.1</v>
      </c>
      <c r="J10" s="40">
        <f t="shared" si="3"/>
        <v>7060.900000000001</v>
      </c>
      <c r="K10" s="41">
        <v>5904.4</v>
      </c>
      <c r="L10" s="40">
        <f t="shared" si="4"/>
        <v>1156.500000000001</v>
      </c>
      <c r="M10" s="45">
        <v>130.5</v>
      </c>
      <c r="N10" s="51"/>
      <c r="P10" s="54"/>
      <c r="Q10" s="44"/>
    </row>
    <row r="11" spans="1:17" ht="14.25">
      <c r="A11" s="6">
        <v>6</v>
      </c>
      <c r="B11" s="7" t="s">
        <v>53</v>
      </c>
      <c r="C11" s="49">
        <v>1717</v>
      </c>
      <c r="D11" s="28">
        <f>'ИНП 2024'!X11</f>
        <v>1.649888382656998</v>
      </c>
      <c r="E11" s="28">
        <f>'ИБР 2024'!Y11</f>
        <v>1.2500725361704115</v>
      </c>
      <c r="F11" s="36">
        <f t="shared" si="2"/>
        <v>1.3198341175556259</v>
      </c>
      <c r="G11" s="17">
        <f t="shared" si="0"/>
        <v>0</v>
      </c>
      <c r="H11" s="17">
        <f t="shared" si="1"/>
        <v>0</v>
      </c>
      <c r="I11" s="47">
        <f>11073.3+M11</f>
        <v>11190.4</v>
      </c>
      <c r="J11" s="40">
        <f t="shared" si="3"/>
        <v>11190.4</v>
      </c>
      <c r="K11" s="41">
        <v>9553.2</v>
      </c>
      <c r="L11" s="40">
        <f t="shared" si="4"/>
        <v>1637.199999999999</v>
      </c>
      <c r="M11" s="45">
        <v>117.1</v>
      </c>
      <c r="N11" s="51"/>
      <c r="P11" s="54"/>
      <c r="Q11" s="44"/>
    </row>
    <row r="12" spans="1:17" ht="14.25">
      <c r="A12" s="6">
        <v>7</v>
      </c>
      <c r="B12" s="7" t="s">
        <v>54</v>
      </c>
      <c r="C12" s="49">
        <v>843</v>
      </c>
      <c r="D12" s="28">
        <f>'ИНП 2024'!X12</f>
        <v>0.6964080470354009</v>
      </c>
      <c r="E12" s="28">
        <f>'ИБР 2024'!Y12</f>
        <v>1.480632848902093</v>
      </c>
      <c r="F12" s="36">
        <f t="shared" si="2"/>
        <v>0.4703448579786649</v>
      </c>
      <c r="G12" s="17">
        <f t="shared" si="0"/>
        <v>117.39019982446327</v>
      </c>
      <c r="H12" s="17">
        <f t="shared" si="1"/>
        <v>117.4</v>
      </c>
      <c r="I12" s="47">
        <f>2826.5+M12</f>
        <v>2884</v>
      </c>
      <c r="J12" s="40">
        <f t="shared" si="3"/>
        <v>3001.4</v>
      </c>
      <c r="K12" s="41">
        <v>3268.4</v>
      </c>
      <c r="L12" s="40">
        <f t="shared" si="4"/>
        <v>-267</v>
      </c>
      <c r="M12" s="45">
        <v>57.5</v>
      </c>
      <c r="N12" s="51"/>
      <c r="P12" s="54"/>
      <c r="Q12" s="44"/>
    </row>
    <row r="13" spans="1:17" ht="14.25">
      <c r="A13" s="6">
        <v>8</v>
      </c>
      <c r="B13" s="7" t="s">
        <v>55</v>
      </c>
      <c r="C13" s="49">
        <v>1950</v>
      </c>
      <c r="D13" s="28">
        <f>'ИНП 2024'!X13</f>
        <v>0.8289116477056777</v>
      </c>
      <c r="E13" s="28">
        <f>'ИБР 2024'!Y13</f>
        <v>1.0101902214497618</v>
      </c>
      <c r="F13" s="36">
        <f t="shared" si="2"/>
        <v>0.8205500608747485</v>
      </c>
      <c r="G13" s="17">
        <f t="shared" si="0"/>
        <v>0</v>
      </c>
      <c r="H13" s="17">
        <f t="shared" si="1"/>
        <v>0</v>
      </c>
      <c r="I13" s="47">
        <f>8194.7+M13</f>
        <v>8327.7</v>
      </c>
      <c r="J13" s="40">
        <f t="shared" si="3"/>
        <v>8327.7</v>
      </c>
      <c r="K13" s="41">
        <v>7889</v>
      </c>
      <c r="L13" s="40">
        <f t="shared" si="4"/>
        <v>438.7000000000007</v>
      </c>
      <c r="M13" s="45">
        <v>133</v>
      </c>
      <c r="N13" s="51"/>
      <c r="P13" s="54"/>
      <c r="Q13" s="44"/>
    </row>
    <row r="14" spans="1:17" ht="14.25">
      <c r="A14" s="6">
        <v>9</v>
      </c>
      <c r="B14" s="7" t="s">
        <v>56</v>
      </c>
      <c r="C14" s="49">
        <v>678</v>
      </c>
      <c r="D14" s="28">
        <f>'ИНП 2024'!X14</f>
        <v>0.3914446741277677</v>
      </c>
      <c r="E14" s="28">
        <f>'ИБР 2024'!Y14</f>
        <v>1.934912342150715</v>
      </c>
      <c r="F14" s="36">
        <f t="shared" si="2"/>
        <v>0.20230615392770962</v>
      </c>
      <c r="G14" s="17">
        <f t="shared" si="0"/>
        <v>1805.9356100488435</v>
      </c>
      <c r="H14" s="17">
        <f t="shared" si="1"/>
        <v>1805.9</v>
      </c>
      <c r="I14" s="47">
        <f>1476.4+M14</f>
        <v>1522.6000000000001</v>
      </c>
      <c r="J14" s="40">
        <f t="shared" si="3"/>
        <v>3328.5</v>
      </c>
      <c r="K14" s="41">
        <v>2997.4</v>
      </c>
      <c r="L14" s="40">
        <f t="shared" si="4"/>
        <v>331.0999999999999</v>
      </c>
      <c r="M14" s="45">
        <v>46.2</v>
      </c>
      <c r="N14" s="51"/>
      <c r="P14" s="54"/>
      <c r="Q14" s="44"/>
    </row>
    <row r="15" spans="1:17" ht="14.25">
      <c r="A15" s="6">
        <v>10</v>
      </c>
      <c r="B15" s="7" t="s">
        <v>57</v>
      </c>
      <c r="C15" s="49">
        <v>1925</v>
      </c>
      <c r="D15" s="28">
        <f>'ИНП 2024'!X15</f>
        <v>0.40517833217061233</v>
      </c>
      <c r="E15" s="28">
        <f>'ИБР 2024'!Y15</f>
        <v>1.0872247723604793</v>
      </c>
      <c r="F15" s="36">
        <f t="shared" si="2"/>
        <v>0.3726720936379398</v>
      </c>
      <c r="G15" s="17">
        <f t="shared" si="0"/>
        <v>1174.9843843969536</v>
      </c>
      <c r="H15" s="17">
        <f t="shared" si="1"/>
        <v>1175</v>
      </c>
      <c r="I15" s="47">
        <f>3831.4+M15</f>
        <v>3962.7000000000003</v>
      </c>
      <c r="J15" s="40">
        <f t="shared" si="3"/>
        <v>5137.700000000001</v>
      </c>
      <c r="K15" s="41">
        <v>4505.6</v>
      </c>
      <c r="L15" s="40">
        <f t="shared" si="4"/>
        <v>632.1000000000004</v>
      </c>
      <c r="M15" s="45">
        <v>131.3</v>
      </c>
      <c r="N15" s="51"/>
      <c r="P15" s="54"/>
      <c r="Q15" s="44"/>
    </row>
    <row r="16" spans="1:17" ht="14.25">
      <c r="A16" s="12"/>
      <c r="B16" s="13" t="s">
        <v>11</v>
      </c>
      <c r="C16" s="13">
        <f>SUM(C6:C15)</f>
        <v>25590</v>
      </c>
      <c r="D16" s="37">
        <f>'ИНП 2024'!X16</f>
        <v>1</v>
      </c>
      <c r="E16" s="37">
        <f>'ИБР 2024'!Y16</f>
        <v>1</v>
      </c>
      <c r="F16" s="38">
        <f t="shared" si="2"/>
        <v>1</v>
      </c>
      <c r="G16" s="39">
        <f>SUM(G6:G15)</f>
        <v>4981.143997722955</v>
      </c>
      <c r="H16" s="39">
        <f t="shared" si="1"/>
        <v>4981.1</v>
      </c>
      <c r="I16" s="39">
        <f>I6+I7+I8+I9+I10+I11+I12+I13+I14+I15</f>
        <v>124193</v>
      </c>
      <c r="J16" s="39">
        <f t="shared" si="3"/>
        <v>129174.1</v>
      </c>
      <c r="K16" s="39">
        <f>SUM(K6:K15)</f>
        <v>87247.2</v>
      </c>
      <c r="L16" s="39">
        <f t="shared" si="4"/>
        <v>41926.90000000001</v>
      </c>
      <c r="M16" s="56">
        <f>SUM(M6:M15)</f>
        <v>1745.2</v>
      </c>
      <c r="N16" s="51"/>
      <c r="P16" s="54"/>
      <c r="Q16" s="44"/>
    </row>
    <row r="17" spans="8:14" ht="14.25">
      <c r="H17" s="44"/>
      <c r="I17" s="44"/>
      <c r="N17" s="52"/>
    </row>
    <row r="18" spans="6:17" ht="14.25">
      <c r="F18" s="18" t="s">
        <v>16</v>
      </c>
      <c r="G18" s="9">
        <v>122447.8</v>
      </c>
      <c r="I18" s="44"/>
      <c r="L18" s="44"/>
      <c r="N18" s="52"/>
      <c r="Q18" s="44"/>
    </row>
    <row r="19" spans="12:14" ht="14.25">
      <c r="L19" s="44"/>
      <c r="N19" s="51"/>
    </row>
    <row r="20" ht="11.25">
      <c r="G20" s="44"/>
    </row>
    <row r="21" ht="11.25">
      <c r="G21" s="44"/>
    </row>
  </sheetData>
  <sheetProtection/>
  <mergeCells count="13">
    <mergeCell ref="F3:F4"/>
    <mergeCell ref="G3:G4"/>
    <mergeCell ref="H3:H4"/>
    <mergeCell ref="I3:I4"/>
    <mergeCell ref="J3:J4"/>
    <mergeCell ref="K3:K4"/>
    <mergeCell ref="L3:L4"/>
    <mergeCell ref="C1:H1"/>
    <mergeCell ref="A3:A4"/>
    <mergeCell ref="B3:B4"/>
    <mergeCell ref="C3:C4"/>
    <mergeCell ref="D3:D4"/>
    <mergeCell ref="E3:E4"/>
  </mergeCells>
  <printOptions horizontalCentered="1" verticalCentered="1"/>
  <pageMargins left="0.31496062992125984" right="0.1968503937007874" top="0.1968503937007874" bottom="0.1968503937007874" header="0.15748031496062992" footer="0.15748031496062992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varvarina</cp:lastModifiedBy>
  <cp:lastPrinted>2023-11-09T06:07:46Z</cp:lastPrinted>
  <dcterms:created xsi:type="dcterms:W3CDTF">2008-12-18T12:36:24Z</dcterms:created>
  <dcterms:modified xsi:type="dcterms:W3CDTF">2023-11-09T06:07:53Z</dcterms:modified>
  <cp:category/>
  <cp:version/>
  <cp:contentType/>
  <cp:contentStatus/>
</cp:coreProperties>
</file>