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firstSheet="3" activeTab="5"/>
  </bookViews>
  <sheets>
    <sheet name="ИБР 2023" sheetId="1" r:id="rId1"/>
    <sheet name="ИНП 2023" sheetId="2" r:id="rId2"/>
    <sheet name="Дот2023" sheetId="3" r:id="rId3"/>
    <sheet name="ИБР 2024" sheetId="4" r:id="rId4"/>
    <sheet name="ИНП 2024" sheetId="5" r:id="rId5"/>
    <sheet name="Дот2024" sheetId="6" r:id="rId6"/>
    <sheet name="ИБР 2025" sheetId="7" r:id="rId7"/>
    <sheet name="ИНП 2025" sheetId="8" r:id="rId8"/>
    <sheet name="Дот2025" sheetId="9" r:id="rId9"/>
    <sheet name="Лист1" sheetId="10" r:id="rId10"/>
  </sheets>
  <externalReferences>
    <externalReference r:id="rId13"/>
    <externalReference r:id="rId14"/>
  </externalReferences>
  <definedNames>
    <definedName name="lst2">'[1]rr'!$D$5:$E$46</definedName>
    <definedName name="vb">'[1]rr'!$D$3</definedName>
    <definedName name="_xlnm.Print_Titles" localSheetId="2">'Дот2023'!$A:$B</definedName>
    <definedName name="_xlnm.Print_Titles" localSheetId="5">'Дот2024'!$A:$B</definedName>
    <definedName name="_xlnm.Print_Titles" localSheetId="8">'Дот2025'!$A:$B</definedName>
    <definedName name="_xlnm.Print_Titles" localSheetId="0">'ИБР 2023'!$A:$B</definedName>
    <definedName name="_xlnm.Print_Titles" localSheetId="3">'ИБР 2024'!$A:$B</definedName>
    <definedName name="_xlnm.Print_Titles" localSheetId="6">'ИБР 2025'!$A:$B</definedName>
    <definedName name="_xlnm.Print_Titles" localSheetId="1">'ИНП 2023'!$A:$B</definedName>
    <definedName name="_xlnm.Print_Titles" localSheetId="4">'ИНП 2024'!$A:$B</definedName>
    <definedName name="_xlnm.Print_Titles" localSheetId="7">'ИНП 2025'!$A:$B</definedName>
    <definedName name="_xlnm.Print_Area" localSheetId="2">'Дот2023'!$A$1:$H$16</definedName>
    <definedName name="_xlnm.Print_Area" localSheetId="5">'Дот2024'!$A$1:$H$16</definedName>
    <definedName name="_xlnm.Print_Area" localSheetId="8">'Дот2025'!$A$1:$H$16</definedName>
    <definedName name="_xlnm.Print_Area" localSheetId="0">'ИБР 2023'!$A$1:$Y$16</definedName>
    <definedName name="_xlnm.Print_Area" localSheetId="3">'ИБР 2024'!$A$1:$Y$16</definedName>
    <definedName name="_xlnm.Print_Area" localSheetId="6">'ИБР 2025'!$A$1:$Y$16</definedName>
    <definedName name="_xlnm.Print_Area" localSheetId="1">'ИНП 2023'!$A$1:$X$16</definedName>
    <definedName name="_xlnm.Print_Area" localSheetId="4">'ИНП 2024'!$A$1:$X$16</definedName>
    <definedName name="_xlnm.Print_Area" localSheetId="7">'ИНП 2025'!$A$1:$X$16</definedName>
  </definedNames>
  <calcPr fullCalcOnLoad="1"/>
</workbook>
</file>

<file path=xl/comments3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</commentList>
</comments>
</file>

<file path=xl/comments6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comments9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sharedStrings.xml><?xml version="1.0" encoding="utf-8"?>
<sst xmlns="http://schemas.openxmlformats.org/spreadsheetml/2006/main" count="426" uniqueCount="75">
  <si>
    <t>№</t>
  </si>
  <si>
    <t>Поселения</t>
  </si>
  <si>
    <t>Числен-ность постоян-ного населения, чел</t>
  </si>
  <si>
    <t>НДФЛ</t>
  </si>
  <si>
    <t>Налог на имущество физлиц</t>
  </si>
  <si>
    <t>Земельный налог</t>
  </si>
  <si>
    <t>Единый сельхозналог</t>
  </si>
  <si>
    <t>Суммарный налоговый потенциал поселений</t>
  </si>
  <si>
    <t>База налого-обложения (ФОТ)</t>
  </si>
  <si>
    <t>Расчетная ставка</t>
  </si>
  <si>
    <t>Х</t>
  </si>
  <si>
    <t>ИТОГО</t>
  </si>
  <si>
    <t>База налого-обложения</t>
  </si>
  <si>
    <t>Сводный индекс бюджет-ных расходов</t>
  </si>
  <si>
    <t>Бюджетная обеспе-ченность</t>
  </si>
  <si>
    <t>Потреб-ность в средствах для вырав-нивания</t>
  </si>
  <si>
    <t>Прогноз налоговых и неналоговых доходов поселений</t>
  </si>
  <si>
    <t>Расчетный объем дотации на вырав-нивание</t>
  </si>
  <si>
    <t>Индекс бюджетных расходов</t>
  </si>
  <si>
    <t>тыс. руб.</t>
  </si>
  <si>
    <t>в том числе:</t>
  </si>
  <si>
    <t>В насе-ленных пунктах с числен-ностью менее 500 чел.</t>
  </si>
  <si>
    <t>Тарифы на ЖКУ</t>
  </si>
  <si>
    <t>Коэффициенты</t>
  </si>
  <si>
    <t>Условные потребители</t>
  </si>
  <si>
    <t>Отраслевые индексы бюджетных расходов</t>
  </si>
  <si>
    <t>город-ское</t>
  </si>
  <si>
    <t>стоимость тепла за 1 Гкал в месяц, руб</t>
  </si>
  <si>
    <t>стоимость 1 куб.м воды в месяц, руб.</t>
  </si>
  <si>
    <t>Лимиты потребления тепла</t>
  </si>
  <si>
    <t>Затраты на тепло</t>
  </si>
  <si>
    <t>масштаба</t>
  </si>
  <si>
    <t>дисперс-ности расселе-ния</t>
  </si>
  <si>
    <t>уровня урбаниза-ции</t>
  </si>
  <si>
    <t>стоимо-сти комму-нальных услуг</t>
  </si>
  <si>
    <t>Местное самоупра-вление</t>
  </si>
  <si>
    <t>Коммунальное хозяйство</t>
  </si>
  <si>
    <t>Дорожное хозяйство</t>
  </si>
  <si>
    <t>Культура</t>
  </si>
  <si>
    <t>Прочие расходы</t>
  </si>
  <si>
    <t>Прогноз доходов всего (с учетом дотации на выравнивание)</t>
  </si>
  <si>
    <t>Разрыв</t>
  </si>
  <si>
    <t>Прогноз доходов поселений (налоговые, неналоговые, дотация за счет субвенций из областного бюжета)</t>
  </si>
  <si>
    <t>Прогноз расходов поселений</t>
  </si>
  <si>
    <t>Дотация бюджетам поселений за счет субвенций из областного бюджета</t>
  </si>
  <si>
    <t>Доходный потенциал поселений</t>
  </si>
  <si>
    <t>Доходный потенциал на 1 жителя</t>
  </si>
  <si>
    <t>Индекс доходного потенциала</t>
  </si>
  <si>
    <t>Б.Карабулакское МО</t>
  </si>
  <si>
    <t>Свободинское МО</t>
  </si>
  <si>
    <t>Алексеевское МО</t>
  </si>
  <si>
    <t>Большечечуйское МО</t>
  </si>
  <si>
    <t>Липовское МО</t>
  </si>
  <si>
    <t>Максимовское МО</t>
  </si>
  <si>
    <t>Старобурасское МО</t>
  </si>
  <si>
    <t>Старожуковское МО</t>
  </si>
  <si>
    <t>Шняевсое МО</t>
  </si>
  <si>
    <t>Яковлевское МО</t>
  </si>
  <si>
    <t>Прогноз налога на 2020 год в консолиди-рованный бюджет района</t>
  </si>
  <si>
    <t>Прогноз налога на 2020 год, 100%</t>
  </si>
  <si>
    <t>Прогноз налога на 2020 год в доле поселений</t>
  </si>
  <si>
    <t>Прогноз налога на 2021 год в консолиди-рованный бюджет района</t>
  </si>
  <si>
    <t>Прогноз налога на 2021 год, 100%</t>
  </si>
  <si>
    <t>Прогноз налога на 2021 год в доле поселений</t>
  </si>
  <si>
    <t>Прогноз налога на 2022 год в консолиди-рованный бюджет района</t>
  </si>
  <si>
    <t>Прогноз налога на 2022 год, 100%</t>
  </si>
  <si>
    <t>Прогноз налога на 2022 год в доле поселений</t>
  </si>
  <si>
    <t>Расчет индекса бюджетных расходов на 2023 год</t>
  </si>
  <si>
    <t>Расчет индекса налогового потенциала на 2024 год</t>
  </si>
  <si>
    <t>Расчет дотации на выравнивание на 2024 год</t>
  </si>
  <si>
    <t>Расчет индекса бюджетных расходов на 2024 год</t>
  </si>
  <si>
    <t>Расчет индекса налогового потенциала на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</t>
  </si>
  <si>
    <t>Расчет индекса налогового потенциала на 2025 год</t>
  </si>
  <si>
    <t>Расчет дотации на выравнивание на 2025 год</t>
  </si>
  <si>
    <t>Расчет дотации на выравнивание на 2023год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</si>
</sst>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"/>
    <numFmt numFmtId="176" formatCode="#,##0.00_ ;[Red]\-#,##0.00\ "/>
    <numFmt numFmtId="177" formatCode="#,##0.0"/>
    <numFmt numFmtId="178" formatCode="0.0000"/>
    <numFmt numFmtId="179" formatCode="#,##0.000"/>
    <numFmt numFmtId="180" formatCode="0.000000"/>
    <numFmt numFmtId="181" formatCode="0.00000"/>
    <numFmt numFmtId="182" formatCode="#,##0.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000"/>
    <numFmt numFmtId="189" formatCode="#,##0.00000"/>
    <numFmt numFmtId="190" formatCode="0.000%"/>
    <numFmt numFmtId="191" formatCode="0.0000%"/>
    <numFmt numFmtId="192" formatCode="0.00000%"/>
    <numFmt numFmtId="193" formatCode="0.0000000"/>
    <numFmt numFmtId="194" formatCode="0.00000000"/>
    <numFmt numFmtId="195" formatCode="0.000000000"/>
    <numFmt numFmtId="196" formatCode="0.0000000000"/>
    <numFmt numFmtId="197" formatCode="##,###,###,###,###,###,###"/>
    <numFmt numFmtId="198" formatCode="0.0000E+00"/>
    <numFmt numFmtId="199" formatCode="0.00000E+00"/>
    <numFmt numFmtId="200" formatCode="0.000000E+00"/>
    <numFmt numFmtId="201" formatCode="0.0000000E+00"/>
    <numFmt numFmtId="202" formatCode="#,##0.0;[Red]#,##0.0"/>
    <numFmt numFmtId="203" formatCode="#,##0.0_);\(#,##0.0\)"/>
    <numFmt numFmtId="204" formatCode="[$-FC19]d\ mmmm\ yyyy\ &quot;г.&quot;"/>
    <numFmt numFmtId="205" formatCode="#,##0.000_ ;[Red]\-#,##0.000\ "/>
    <numFmt numFmtId="206" formatCode="#,##0.0000_ ;[Red]\-#,##0.0000\ "/>
    <numFmt numFmtId="207" formatCode="#,##0.00000_ ;[Red]\-#,##0.00000\ "/>
    <numFmt numFmtId="208" formatCode="#,##0.000000_ ;[Red]\-#,##0.000000\ "/>
    <numFmt numFmtId="209" formatCode="#,##0.0000000_ ;[Red]\-#,##0.0000000\ "/>
    <numFmt numFmtId="210" formatCode="#,##0.00000000_ ;[Red]\-#,##0.00000000\ "/>
    <numFmt numFmtId="211" formatCode="#,##0.000000000_ ;[Red]\-#,##0.000000000\ "/>
    <numFmt numFmtId="212" formatCode="#,##0.0000000000_ ;[Red]\-#,##0.0000000000\ "/>
    <numFmt numFmtId="213" formatCode="0.00000000000"/>
  </numFmts>
  <fonts count="4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7">
      <alignment/>
      <protection/>
    </xf>
    <xf numFmtId="0" fontId="6" fillId="0" borderId="0" xfId="55" applyFont="1" applyAlignment="1">
      <alignment wrapText="1"/>
      <protection/>
    </xf>
    <xf numFmtId="0" fontId="3" fillId="0" borderId="10" xfId="56" applyFill="1" applyBorder="1" applyAlignment="1">
      <alignment horizontal="center" vertical="top" wrapText="1"/>
      <protection/>
    </xf>
    <xf numFmtId="0" fontId="3" fillId="33" borderId="10" xfId="57" applyFill="1" applyBorder="1">
      <alignment/>
      <protection/>
    </xf>
    <xf numFmtId="0" fontId="3" fillId="33" borderId="0" xfId="57" applyFill="1">
      <alignment/>
      <protection/>
    </xf>
    <xf numFmtId="0" fontId="5" fillId="0" borderId="10" xfId="0" applyFont="1" applyFill="1" applyBorder="1" applyAlignment="1">
      <alignment/>
    </xf>
    <xf numFmtId="0" fontId="5" fillId="0" borderId="10" xfId="33" applyFont="1" applyFill="1" applyBorder="1">
      <alignment/>
      <protection/>
    </xf>
    <xf numFmtId="3" fontId="5" fillId="34" borderId="10" xfId="55" applyNumberFormat="1" applyFont="1" applyFill="1" applyBorder="1">
      <alignment/>
      <protection/>
    </xf>
    <xf numFmtId="177" fontId="5" fillId="34" borderId="10" xfId="33" applyNumberFormat="1" applyFont="1" applyFill="1" applyBorder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177" fontId="5" fillId="0" borderId="10" xfId="33" applyNumberFormat="1" applyFont="1" applyFill="1" applyBorder="1">
      <alignment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/>
    </xf>
    <xf numFmtId="0" fontId="8" fillId="0" borderId="11" xfId="57" applyFont="1" applyBorder="1" applyAlignment="1">
      <alignment horizontal="center" vertical="center" wrapText="1"/>
      <protection/>
    </xf>
    <xf numFmtId="0" fontId="3" fillId="34" borderId="10" xfId="57" applyFill="1" applyBorder="1">
      <alignment/>
      <protection/>
    </xf>
    <xf numFmtId="177" fontId="5" fillId="0" borderId="10" xfId="55" applyNumberFormat="1" applyFont="1" applyFill="1" applyBorder="1">
      <alignment/>
      <protection/>
    </xf>
    <xf numFmtId="0" fontId="3" fillId="0" borderId="0" xfId="57" applyAlignment="1">
      <alignment horizontal="right"/>
      <protection/>
    </xf>
    <xf numFmtId="0" fontId="5" fillId="0" borderId="0" xfId="55" applyFont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36" borderId="10" xfId="57" applyFont="1" applyFill="1" applyBorder="1" applyAlignment="1">
      <alignment horizontal="center" vertical="center" wrapText="1"/>
      <protection/>
    </xf>
    <xf numFmtId="0" fontId="3" fillId="36" borderId="10" xfId="57" applyFill="1" applyBorder="1">
      <alignment/>
      <protection/>
    </xf>
    <xf numFmtId="10" fontId="3" fillId="34" borderId="10" xfId="62" applyNumberFormat="1" applyFont="1" applyFill="1" applyBorder="1" applyAlignment="1">
      <alignment/>
    </xf>
    <xf numFmtId="4" fontId="5" fillId="34" borderId="10" xfId="55" applyNumberFormat="1" applyFont="1" applyFill="1" applyBorder="1">
      <alignment/>
      <protection/>
    </xf>
    <xf numFmtId="3" fontId="5" fillId="36" borderId="10" xfId="55" applyNumberFormat="1" applyFont="1" applyFill="1" applyBorder="1">
      <alignment/>
      <protection/>
    </xf>
    <xf numFmtId="189" fontId="5" fillId="36" borderId="10" xfId="55" applyNumberFormat="1" applyFont="1" applyFill="1" applyBorder="1">
      <alignment/>
      <protection/>
    </xf>
    <xf numFmtId="179" fontId="5" fillId="0" borderId="10" xfId="55" applyNumberFormat="1" applyFont="1" applyFill="1" applyBorder="1">
      <alignment/>
      <protection/>
    </xf>
    <xf numFmtId="179" fontId="7" fillId="0" borderId="10" xfId="55" applyNumberFormat="1" applyFont="1" applyFill="1" applyBorder="1">
      <alignment/>
      <protection/>
    </xf>
    <xf numFmtId="3" fontId="8" fillId="0" borderId="10" xfId="57" applyNumberFormat="1" applyFont="1" applyFill="1" applyBorder="1">
      <alignment/>
      <protection/>
    </xf>
    <xf numFmtId="3" fontId="8" fillId="36" borderId="10" xfId="57" applyNumberFormat="1" applyFont="1" applyFill="1" applyBorder="1">
      <alignment/>
      <protection/>
    </xf>
    <xf numFmtId="4" fontId="8" fillId="36" borderId="10" xfId="57" applyNumberFormat="1" applyFont="1" applyFill="1" applyBorder="1">
      <alignment/>
      <protection/>
    </xf>
    <xf numFmtId="177" fontId="7" fillId="0" borderId="10" xfId="55" applyNumberFormat="1" applyFont="1" applyFill="1" applyBorder="1">
      <alignment/>
      <protection/>
    </xf>
    <xf numFmtId="177" fontId="7" fillId="0" borderId="0" xfId="55" applyNumberFormat="1" applyFont="1" applyFill="1" applyBorder="1">
      <alignment/>
      <protection/>
    </xf>
    <xf numFmtId="177" fontId="5" fillId="0" borderId="0" xfId="55" applyNumberFormat="1" applyFont="1" applyFill="1" applyBorder="1">
      <alignment/>
      <protection/>
    </xf>
    <xf numFmtId="179" fontId="5" fillId="0" borderId="10" xfId="33" applyNumberFormat="1" applyFont="1" applyFill="1" applyBorder="1">
      <alignment/>
      <protection/>
    </xf>
    <xf numFmtId="179" fontId="6" fillId="0" borderId="10" xfId="55" applyNumberFormat="1" applyFont="1" applyFill="1" applyBorder="1">
      <alignment/>
      <protection/>
    </xf>
    <xf numFmtId="179" fontId="6" fillId="0" borderId="10" xfId="33" applyNumberFormat="1" applyFont="1" applyFill="1" applyBorder="1">
      <alignment/>
      <protection/>
    </xf>
    <xf numFmtId="177" fontId="6" fillId="0" borderId="10" xfId="55" applyNumberFormat="1" applyFont="1" applyFill="1" applyBorder="1">
      <alignment/>
      <protection/>
    </xf>
    <xf numFmtId="177" fontId="3" fillId="0" borderId="10" xfId="57" applyNumberFormat="1" applyBorder="1">
      <alignment/>
      <protection/>
    </xf>
    <xf numFmtId="177" fontId="3" fillId="34" borderId="10" xfId="57" applyNumberFormat="1" applyFill="1" applyBorder="1">
      <alignment/>
      <protection/>
    </xf>
    <xf numFmtId="177" fontId="6" fillId="0" borderId="10" xfId="33" applyNumberFormat="1" applyFont="1" applyFill="1" applyBorder="1">
      <alignment/>
      <protection/>
    </xf>
    <xf numFmtId="3" fontId="6" fillId="0" borderId="10" xfId="0" applyNumberFormat="1" applyFont="1" applyBorder="1" applyAlignment="1">
      <alignment/>
    </xf>
    <xf numFmtId="177" fontId="3" fillId="0" borderId="0" xfId="57" applyNumberFormat="1">
      <alignment/>
      <protection/>
    </xf>
    <xf numFmtId="172" fontId="0" fillId="0" borderId="10" xfId="54" applyNumberFormat="1" applyBorder="1">
      <alignment/>
      <protection/>
    </xf>
    <xf numFmtId="0" fontId="3" fillId="0" borderId="10" xfId="56" applyFont="1" applyFill="1" applyBorder="1" applyAlignment="1">
      <alignment horizontal="center" vertical="top" wrapText="1"/>
      <protection/>
    </xf>
    <xf numFmtId="172" fontId="3" fillId="34" borderId="10" xfId="57" applyNumberFormat="1" applyFill="1" applyBorder="1">
      <alignment/>
      <protection/>
    </xf>
    <xf numFmtId="0" fontId="12" fillId="0" borderId="0" xfId="57" applyFont="1">
      <alignment/>
      <protection/>
    </xf>
    <xf numFmtId="3" fontId="5" fillId="0" borderId="10" xfId="55" applyNumberFormat="1" applyFont="1" applyFill="1" applyBorder="1">
      <alignment/>
      <protection/>
    </xf>
    <xf numFmtId="177" fontId="3" fillId="37" borderId="0" xfId="57" applyNumberFormat="1" applyFill="1">
      <alignment/>
      <protection/>
    </xf>
    <xf numFmtId="177" fontId="11" fillId="37" borderId="0" xfId="57" applyNumberFormat="1" applyFont="1" applyFill="1">
      <alignment/>
      <protection/>
    </xf>
    <xf numFmtId="0" fontId="11" fillId="37" borderId="0" xfId="57" applyFont="1" applyFill="1">
      <alignment/>
      <protection/>
    </xf>
    <xf numFmtId="177" fontId="5" fillId="0" borderId="10" xfId="33" applyNumberFormat="1" applyFont="1" applyFill="1" applyBorder="1">
      <alignment/>
      <protection/>
    </xf>
    <xf numFmtId="0" fontId="3" fillId="2" borderId="0" xfId="57" applyFill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0" fontId="11" fillId="0" borderId="0" xfId="57" applyFont="1">
      <alignment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Местные бюджеты 2006 - расчет МБТ(2 чтение)" xfId="55"/>
    <cellStyle name="Обычный_налоговый потенциал_2009_2011" xfId="56"/>
    <cellStyle name="Обычный_Поселения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k%20c\P\&#1053;&#1072;&#1083;&#1086;&#1075;&#1086;&#1074;&#1099;&#1081;%20&#1087;&#1086;&#1090;&#1077;&#1085;&#1094;&#1080;&#1072;&#1083;%202005\sv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app02\Sliv\Orsuf\&#1062;&#1060;&#1055;%20&#1072;&#1087;&#1088;&#1077;&#1083;&#1100;%202005\&#1053;&#1072;&#1096;&#1080;%20&#1076;&#1072;&#1085;&#1085;&#1099;&#1077;\2006\&#1052;&#1077;&#1089;&#1090;&#1085;&#1099;&#1077;%20&#1073;&#1102;&#1076;&#1078;&#1077;&#1090;&#1099;%202006%20-%20&#1088;&#1072;&#1089;&#1095;&#1077;&#1090;%20&#1052;&#1041;&#1058;(2%20&#1095;&#1090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НДФЛ"/>
      <sheetName val="НИФЛ"/>
      <sheetName val="ЕСХН"/>
      <sheetName val="ЗН"/>
      <sheetName val="sv"/>
      <sheetName val="np"/>
      <sheetName val="МР_ГО"/>
      <sheetName val="rr"/>
    </sheetNames>
    <sheetDataSet>
      <sheetData sheetId="9">
        <row r="3">
          <cell r="D3">
            <v>39</v>
          </cell>
        </row>
        <row r="5">
          <cell r="D5" t="str">
            <v>1 Александрово-Гайский</v>
          </cell>
          <cell r="E5">
            <v>7</v>
          </cell>
        </row>
        <row r="6">
          <cell r="D6" t="str">
            <v>2 Аркадакский</v>
          </cell>
          <cell r="E6">
            <v>7</v>
          </cell>
        </row>
        <row r="7">
          <cell r="D7" t="str">
            <v>3 Базарно-Карабулакский</v>
          </cell>
          <cell r="E7">
            <v>13</v>
          </cell>
        </row>
        <row r="8">
          <cell r="D8" t="str">
            <v>4 Балтайский</v>
          </cell>
          <cell r="E8">
            <v>4</v>
          </cell>
        </row>
        <row r="9">
          <cell r="D9" t="str">
            <v>5 Воскресенский</v>
          </cell>
          <cell r="E9">
            <v>3</v>
          </cell>
        </row>
        <row r="10">
          <cell r="D10" t="str">
            <v>6 Дергачевский</v>
          </cell>
          <cell r="E10">
            <v>13</v>
          </cell>
        </row>
        <row r="11">
          <cell r="D11" t="str">
            <v>7 Духовницкий</v>
          </cell>
          <cell r="E11">
            <v>7</v>
          </cell>
        </row>
        <row r="12">
          <cell r="D12" t="str">
            <v>8 Екатериновский</v>
          </cell>
          <cell r="E12">
            <v>14</v>
          </cell>
        </row>
        <row r="13">
          <cell r="D13" t="str">
            <v>9 Ершовский</v>
          </cell>
          <cell r="E13">
            <v>15</v>
          </cell>
        </row>
        <row r="14">
          <cell r="D14" t="str">
            <v>10 Ивантеевский</v>
          </cell>
          <cell r="E14">
            <v>9</v>
          </cell>
        </row>
        <row r="15">
          <cell r="D15" t="str">
            <v>11 Калининский</v>
          </cell>
          <cell r="E15">
            <v>13</v>
          </cell>
        </row>
        <row r="16">
          <cell r="D16" t="str">
            <v>12 Краснокутский</v>
          </cell>
          <cell r="E16">
            <v>13</v>
          </cell>
        </row>
        <row r="17">
          <cell r="D17" t="str">
            <v>13 Краснопартизанский</v>
          </cell>
          <cell r="E17">
            <v>8</v>
          </cell>
        </row>
        <row r="18">
          <cell r="D18" t="str">
            <v>14 Лысогорский</v>
          </cell>
          <cell r="E18">
            <v>11</v>
          </cell>
        </row>
        <row r="19">
          <cell r="D19" t="str">
            <v>15 Новобурасский</v>
          </cell>
          <cell r="E19">
            <v>8</v>
          </cell>
        </row>
        <row r="20">
          <cell r="D20" t="str">
            <v>16 Новоузенский </v>
          </cell>
          <cell r="E20">
            <v>12</v>
          </cell>
        </row>
        <row r="21">
          <cell r="D21" t="str">
            <v>17 Озинский</v>
          </cell>
          <cell r="E21">
            <v>11</v>
          </cell>
        </row>
        <row r="22">
          <cell r="D22" t="str">
            <v>18 Перелюбский</v>
          </cell>
          <cell r="E22">
            <v>12</v>
          </cell>
        </row>
        <row r="23">
          <cell r="D23" t="str">
            <v>19 Питерский</v>
          </cell>
          <cell r="E23">
            <v>8</v>
          </cell>
        </row>
        <row r="24">
          <cell r="D24" t="str">
            <v>20 Ровенский</v>
          </cell>
          <cell r="E24">
            <v>8</v>
          </cell>
        </row>
        <row r="25">
          <cell r="D25" t="str">
            <v>21 Романовский</v>
          </cell>
          <cell r="E25">
            <v>8</v>
          </cell>
        </row>
        <row r="26">
          <cell r="D26" t="str">
            <v>22 Самойловский</v>
          </cell>
          <cell r="E26">
            <v>8</v>
          </cell>
        </row>
        <row r="27">
          <cell r="D27" t="str">
            <v>23 Саратовский</v>
          </cell>
          <cell r="E27">
            <v>12</v>
          </cell>
        </row>
        <row r="28">
          <cell r="D28" t="str">
            <v>24 Советский</v>
          </cell>
          <cell r="E28">
            <v>9</v>
          </cell>
        </row>
        <row r="29">
          <cell r="D29" t="str">
            <v>25 Татищевский</v>
          </cell>
          <cell r="E29">
            <v>11</v>
          </cell>
        </row>
        <row r="30">
          <cell r="D30" t="str">
            <v>26 Турковский</v>
          </cell>
          <cell r="E30">
            <v>9</v>
          </cell>
        </row>
        <row r="31">
          <cell r="D31" t="str">
            <v>27 Федоровский</v>
          </cell>
          <cell r="E31">
            <v>15</v>
          </cell>
        </row>
        <row r="32">
          <cell r="D32" t="str">
            <v>28 г.Аткарск</v>
          </cell>
          <cell r="E32">
            <v>15</v>
          </cell>
        </row>
        <row r="33">
          <cell r="D33" t="str">
            <v>29 г.Балаково</v>
          </cell>
          <cell r="E33">
            <v>18</v>
          </cell>
        </row>
        <row r="34">
          <cell r="D34" t="str">
            <v>30 г.Балашов</v>
          </cell>
          <cell r="E34">
            <v>16</v>
          </cell>
        </row>
        <row r="35">
          <cell r="D35" t="str">
            <v>31 г.Вольск</v>
          </cell>
          <cell r="E35">
            <v>15</v>
          </cell>
        </row>
        <row r="36">
          <cell r="D36" t="str">
            <v>32 г.Красноармейск</v>
          </cell>
          <cell r="E36">
            <v>19</v>
          </cell>
        </row>
        <row r="37">
          <cell r="D37" t="str">
            <v>33 г.Маркс</v>
          </cell>
          <cell r="E37">
            <v>7</v>
          </cell>
        </row>
        <row r="38">
          <cell r="D38" t="str">
            <v>34 г.Петровск</v>
          </cell>
          <cell r="E38">
            <v>6</v>
          </cell>
        </row>
        <row r="39">
          <cell r="D39" t="str">
            <v>35 г.Пугачев</v>
          </cell>
          <cell r="E39">
            <v>10</v>
          </cell>
        </row>
        <row r="40">
          <cell r="D40" t="str">
            <v>36 г.Ртищево</v>
          </cell>
          <cell r="E40">
            <v>7</v>
          </cell>
        </row>
        <row r="41">
          <cell r="D41" t="str">
            <v>39 г.Саратов</v>
          </cell>
          <cell r="E41">
            <v>1</v>
          </cell>
        </row>
        <row r="42">
          <cell r="D42" t="str">
            <v>38 г.Хвалынск</v>
          </cell>
          <cell r="E42">
            <v>9</v>
          </cell>
        </row>
        <row r="43">
          <cell r="D43" t="str">
            <v>39 г.Энгельс</v>
          </cell>
          <cell r="E43">
            <v>7</v>
          </cell>
        </row>
        <row r="44">
          <cell r="D44" t="str">
            <v>40 п.Светлый</v>
          </cell>
          <cell r="E44">
            <v>1</v>
          </cell>
        </row>
        <row r="45">
          <cell r="D45" t="str">
            <v>41 г.Шиханы</v>
          </cell>
          <cell r="E45">
            <v>1</v>
          </cell>
        </row>
        <row r="46">
          <cell r="D46" t="str">
            <v>42 п.Михайловский</v>
          </cell>
          <cell r="E4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МР_П"/>
      <sheetName val="Закреп"/>
      <sheetName val="N_НДФЛ"/>
      <sheetName val="N_НДФЛ (ОТ)"/>
      <sheetName val="ОТ_КБМР"/>
      <sheetName val="ОТ_БМР"/>
      <sheetName val="ОТ_БП"/>
      <sheetName val="Отчет 2004"/>
      <sheetName val="Душа"/>
      <sheetName val="Р_отр"/>
      <sheetName val="ИБР"/>
      <sheetName val="МБТ"/>
      <sheetName val="МБТ_2"/>
      <sheetName val="ИНП_МР"/>
      <sheetName val="ИНП_П"/>
      <sheetName val="НП1"/>
      <sheetName val="НП2"/>
      <sheetName val="НП3"/>
      <sheetName val="Дпрог"/>
    </sheetNames>
    <sheetDataSet>
      <sheetData sheetId="1">
        <row r="3">
          <cell r="C3" t="str">
            <v>Числен-ность постоян-ного населения, чел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3" sqref="Y23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7" t="s">
        <v>67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3" t="s">
        <v>0</v>
      </c>
      <c r="B3" s="63" t="s">
        <v>1</v>
      </c>
      <c r="C3" s="65" t="str">
        <f>'[2]МР_П'!C3</f>
        <v>Числен-ность постоян-ного населения, чел</v>
      </c>
      <c r="D3" s="20" t="s">
        <v>20</v>
      </c>
      <c r="E3" s="65" t="s">
        <v>21</v>
      </c>
      <c r="F3" s="62" t="s">
        <v>22</v>
      </c>
      <c r="G3" s="62"/>
      <c r="H3" s="21"/>
      <c r="I3" s="21"/>
      <c r="J3" s="21"/>
      <c r="K3" s="62" t="s">
        <v>23</v>
      </c>
      <c r="L3" s="62"/>
      <c r="M3" s="62"/>
      <c r="N3" s="62"/>
      <c r="O3" s="57" t="s">
        <v>24</v>
      </c>
      <c r="P3" s="58"/>
      <c r="Q3" s="58"/>
      <c r="R3" s="58"/>
      <c r="S3" s="59"/>
      <c r="T3" s="57" t="s">
        <v>25</v>
      </c>
      <c r="U3" s="58"/>
      <c r="V3" s="58"/>
      <c r="W3" s="58"/>
      <c r="X3" s="59"/>
      <c r="Y3" s="60" t="s">
        <v>13</v>
      </c>
    </row>
    <row r="4" spans="1:25" ht="56.25">
      <c r="A4" s="64"/>
      <c r="B4" s="64"/>
      <c r="C4" s="66"/>
      <c r="D4" s="20" t="s">
        <v>26</v>
      </c>
      <c r="E4" s="66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1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9104</v>
      </c>
      <c r="D6" s="8">
        <v>9104</v>
      </c>
      <c r="E6" s="8"/>
      <c r="F6" s="25">
        <v>2549.09</v>
      </c>
      <c r="G6" s="25">
        <v>36.42</v>
      </c>
      <c r="H6" s="26">
        <v>21467.3</v>
      </c>
      <c r="I6" s="26">
        <f aca="true" t="shared" si="0" ref="I6:I12">F6*H6</f>
        <v>54722079.757</v>
      </c>
      <c r="J6" s="27">
        <f>'ИБР 2023'!G6*'ИБР 2023'!H6/'ИБР 2023'!$H$16</f>
        <v>7.055099450455247</v>
      </c>
      <c r="K6" s="28">
        <f aca="true" t="shared" si="1" ref="K6:K15">IF(C6&lt;&gt;0,0.6+0.4*($C$16/COUNT($A$6:$A$15))/C6,0)</f>
        <v>0.7170254833040421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1.0024134753722054</v>
      </c>
      <c r="O6" s="17">
        <f aca="true" t="shared" si="3" ref="O6:O16">C6*K6</f>
        <v>6527.799999999999</v>
      </c>
      <c r="P6" s="17">
        <f>C6*L6*M6</f>
        <v>18208</v>
      </c>
      <c r="Q6" s="17">
        <f aca="true" t="shared" si="4" ref="Q6:Q16">C6*M6</f>
        <v>18208</v>
      </c>
      <c r="R6" s="17">
        <f aca="true" t="shared" si="5" ref="R6:R16">C6*K6*N6</f>
        <v>6543.554684534682</v>
      </c>
      <c r="S6" s="17">
        <f aca="true" t="shared" si="6" ref="S6:S16">C6*L6</f>
        <v>9104</v>
      </c>
      <c r="T6" s="28">
        <f aca="true" t="shared" si="7" ref="T6:T16">IF(C6&lt;&gt;0,(O6/$C6)/(O$16/$C$16),0)</f>
        <v>0.7170254833040421</v>
      </c>
      <c r="U6" s="28">
        <f aca="true" t="shared" si="8" ref="U6:U16">IF(C6&lt;&gt;0,(P6/$C6)/(P$16/$C$16),0)</f>
        <v>1.1741303355343455</v>
      </c>
      <c r="V6" s="28">
        <f aca="true" t="shared" si="9" ref="V6:V16">IF(C6&lt;&gt;0,(Q6/$C6)/(Q$16/$C$16),0)</f>
        <v>1.4190953167456979</v>
      </c>
      <c r="W6" s="28">
        <f aca="true" t="shared" si="10" ref="W6:W16">IF(C6&lt;&gt;0,(R6/$C6)/(R$16/$C$16),0)</f>
        <v>0.7187560066492401</v>
      </c>
      <c r="X6" s="28">
        <f aca="true" t="shared" si="11" ref="X6:X16">IF(C6&lt;&gt;0,(S6/$C6)/(S$16/$C$16),0)</f>
        <v>0.8273794731610338</v>
      </c>
      <c r="Y6" s="29">
        <f>IF(SUM($T$5:$X$5)=1,T6*$T$5+U6*$U$5+V6*$V$5+W6*$W$5+X6*$X$5,0)</f>
        <v>0.7606692225190881</v>
      </c>
    </row>
    <row r="7" spans="1:25" ht="11.25">
      <c r="A7" s="6">
        <v>2</v>
      </c>
      <c r="B7" s="7" t="s">
        <v>49</v>
      </c>
      <c r="C7" s="49">
        <v>5060</v>
      </c>
      <c r="D7" s="8">
        <v>1799</v>
      </c>
      <c r="E7" s="8">
        <v>1186</v>
      </c>
      <c r="F7" s="25">
        <v>2549.09</v>
      </c>
      <c r="G7" s="25">
        <v>36.42</v>
      </c>
      <c r="H7" s="26">
        <v>13753.5</v>
      </c>
      <c r="I7" s="26">
        <f t="shared" si="0"/>
        <v>35058909.315000005</v>
      </c>
      <c r="J7" s="27">
        <f>'ИБР 2023'!G7*'ИБР 2023'!H7/'ИБР 2023'!$H$16</f>
        <v>4.520005323996788</v>
      </c>
      <c r="K7" s="28">
        <f t="shared" si="1"/>
        <v>0.8105533596837945</v>
      </c>
      <c r="L7" s="28">
        <f aca="true" t="shared" si="12" ref="L7:L15">IF(C7&lt;&gt;0,1+E7/C7,0)</f>
        <v>1.234387351778656</v>
      </c>
      <c r="M7" s="28">
        <f aca="true" t="shared" si="13" ref="M7:M15">IF(C7&lt;&gt;0,1+D7/C7,0)</f>
        <v>1.3555335968379447</v>
      </c>
      <c r="N7" s="28">
        <f t="shared" si="2"/>
        <v>1.0024134753722054</v>
      </c>
      <c r="O7" s="17">
        <f t="shared" si="3"/>
        <v>4101.400000000001</v>
      </c>
      <c r="P7" s="17">
        <f aca="true" t="shared" si="14" ref="P7:P16">C7*L7*M7</f>
        <v>8466.662845849803</v>
      </c>
      <c r="Q7" s="17">
        <f t="shared" si="4"/>
        <v>6859</v>
      </c>
      <c r="R7" s="17">
        <f t="shared" si="5"/>
        <v>4111.298627891563</v>
      </c>
      <c r="S7" s="17">
        <f t="shared" si="6"/>
        <v>6246</v>
      </c>
      <c r="T7" s="28">
        <f t="shared" si="7"/>
        <v>0.8105533596837946</v>
      </c>
      <c r="U7" s="28">
        <f t="shared" si="8"/>
        <v>0.9823088624559098</v>
      </c>
      <c r="V7" s="28">
        <f t="shared" si="9"/>
        <v>0.9618156894820891</v>
      </c>
      <c r="W7" s="28">
        <f t="shared" si="10"/>
        <v>0.8125096102552497</v>
      </c>
      <c r="X7" s="28">
        <f t="shared" si="11"/>
        <v>1.0213067567912681</v>
      </c>
      <c r="Y7" s="29">
        <f aca="true" t="shared" si="15" ref="Y7:Y16">IF(SUM($T$5:$X$5)=1,T7*$T$5+U7*$U$5+V7*$V$5+W7*$W$5+X7*$X$5,0)</f>
        <v>0.8934318722557186</v>
      </c>
    </row>
    <row r="8" spans="1:25" ht="11.25">
      <c r="A8" s="6">
        <v>3</v>
      </c>
      <c r="B8" s="7" t="s">
        <v>50</v>
      </c>
      <c r="C8" s="49">
        <v>2481</v>
      </c>
      <c r="D8" s="8"/>
      <c r="E8" s="8">
        <v>67</v>
      </c>
      <c r="F8" s="25">
        <v>2549.09</v>
      </c>
      <c r="G8" s="25">
        <v>36.42</v>
      </c>
      <c r="H8" s="26">
        <v>16300</v>
      </c>
      <c r="I8" s="26">
        <f t="shared" si="0"/>
        <v>41550167</v>
      </c>
      <c r="J8" s="27">
        <f>'ИБР 2023'!G8*'ИБР 2023'!H8/'ИБР 2023'!$H$16</f>
        <v>5.3568972829568935</v>
      </c>
      <c r="K8" s="28">
        <f t="shared" si="1"/>
        <v>1.0294236195082629</v>
      </c>
      <c r="L8" s="28">
        <f t="shared" si="12"/>
        <v>1.0270052398226521</v>
      </c>
      <c r="M8" s="28">
        <f t="shared" si="13"/>
        <v>1</v>
      </c>
      <c r="N8" s="28">
        <f t="shared" si="2"/>
        <v>1.0024134753722054</v>
      </c>
      <c r="O8" s="17">
        <f t="shared" si="3"/>
        <v>2554</v>
      </c>
      <c r="P8" s="17">
        <f t="shared" si="14"/>
        <v>2548</v>
      </c>
      <c r="Q8" s="17">
        <f t="shared" si="4"/>
        <v>2481</v>
      </c>
      <c r="R8" s="17">
        <f t="shared" si="5"/>
        <v>2560.1640161006126</v>
      </c>
      <c r="S8" s="17">
        <f t="shared" si="6"/>
        <v>2548</v>
      </c>
      <c r="T8" s="28">
        <f t="shared" si="7"/>
        <v>1.0294236195082629</v>
      </c>
      <c r="U8" s="28">
        <f t="shared" si="8"/>
        <v>0.6029190034142508</v>
      </c>
      <c r="V8" s="28">
        <f t="shared" si="9"/>
        <v>0.7095476583728489</v>
      </c>
      <c r="W8" s="28">
        <f t="shared" si="10"/>
        <v>1.0319081080615125</v>
      </c>
      <c r="X8" s="28">
        <f t="shared" si="11"/>
        <v>0.849723054258087</v>
      </c>
      <c r="Y8" s="29">
        <f t="shared" si="15"/>
        <v>0.9602099700543316</v>
      </c>
    </row>
    <row r="9" spans="1:25" ht="11.25">
      <c r="A9" s="6">
        <v>4</v>
      </c>
      <c r="B9" s="7" t="s">
        <v>51</v>
      </c>
      <c r="C9" s="49">
        <v>722</v>
      </c>
      <c r="D9" s="8"/>
      <c r="E9" s="8">
        <v>722</v>
      </c>
      <c r="F9" s="25">
        <v>2549.09</v>
      </c>
      <c r="G9" s="25">
        <v>36.42</v>
      </c>
      <c r="H9" s="26"/>
      <c r="I9" s="26">
        <f t="shared" si="0"/>
        <v>0</v>
      </c>
      <c r="J9" s="27">
        <f>'ИБР 2023'!G9*'ИБР 2023'!H9/'ИБР 2023'!$H$16</f>
        <v>0</v>
      </c>
      <c r="K9" s="28">
        <f t="shared" si="1"/>
        <v>2.075623268698061</v>
      </c>
      <c r="L9" s="28">
        <f t="shared" si="12"/>
        <v>2</v>
      </c>
      <c r="M9" s="28">
        <f t="shared" si="13"/>
        <v>1</v>
      </c>
      <c r="N9" s="28">
        <f t="shared" si="2"/>
        <v>1.0024134753722054</v>
      </c>
      <c r="O9" s="17">
        <f t="shared" si="3"/>
        <v>1498.6</v>
      </c>
      <c r="P9" s="17">
        <f t="shared" si="14"/>
        <v>1444</v>
      </c>
      <c r="Q9" s="17">
        <f t="shared" si="4"/>
        <v>722</v>
      </c>
      <c r="R9" s="17">
        <f t="shared" si="5"/>
        <v>1502.2168341927868</v>
      </c>
      <c r="S9" s="17">
        <f t="shared" si="6"/>
        <v>1444</v>
      </c>
      <c r="T9" s="28">
        <f t="shared" si="7"/>
        <v>2.075623268698061</v>
      </c>
      <c r="U9" s="28">
        <f t="shared" si="8"/>
        <v>1.1741303355343455</v>
      </c>
      <c r="V9" s="28">
        <f t="shared" si="9"/>
        <v>0.7095476583728489</v>
      </c>
      <c r="W9" s="28">
        <f t="shared" si="10"/>
        <v>2.08063273433904</v>
      </c>
      <c r="X9" s="28">
        <f t="shared" si="11"/>
        <v>1.6547589463220675</v>
      </c>
      <c r="Y9" s="29">
        <f t="shared" si="15"/>
        <v>1.9132394959457661</v>
      </c>
    </row>
    <row r="10" spans="1:25" ht="11.25">
      <c r="A10" s="6">
        <v>5</v>
      </c>
      <c r="B10" s="7" t="s">
        <v>52</v>
      </c>
      <c r="C10" s="49">
        <v>1956</v>
      </c>
      <c r="D10" s="8"/>
      <c r="E10" s="8">
        <v>1191</v>
      </c>
      <c r="F10" s="25">
        <v>2549.09</v>
      </c>
      <c r="G10" s="25">
        <v>36.42</v>
      </c>
      <c r="H10" s="26">
        <v>20636.3</v>
      </c>
      <c r="I10" s="26">
        <f t="shared" si="0"/>
        <v>52603785.967</v>
      </c>
      <c r="J10" s="27">
        <f>'ИБР 2023'!G10*'ИБР 2023'!H10/'ИБР 2023'!$H$16</f>
        <v>6.781996282225972</v>
      </c>
      <c r="K10" s="28">
        <f t="shared" si="1"/>
        <v>1.144683026584867</v>
      </c>
      <c r="L10" s="28">
        <f t="shared" si="12"/>
        <v>1.6088957055214723</v>
      </c>
      <c r="M10" s="28">
        <f t="shared" si="13"/>
        <v>1</v>
      </c>
      <c r="N10" s="28">
        <f t="shared" si="2"/>
        <v>1.0024134753722054</v>
      </c>
      <c r="O10" s="17">
        <f t="shared" si="3"/>
        <v>2239</v>
      </c>
      <c r="P10" s="17">
        <f t="shared" si="14"/>
        <v>3147</v>
      </c>
      <c r="Q10" s="17">
        <f t="shared" si="4"/>
        <v>1956</v>
      </c>
      <c r="R10" s="17">
        <f t="shared" si="5"/>
        <v>2244.403771358368</v>
      </c>
      <c r="S10" s="17">
        <f t="shared" si="6"/>
        <v>3147</v>
      </c>
      <c r="T10" s="28">
        <f t="shared" si="7"/>
        <v>1.144683026584867</v>
      </c>
      <c r="U10" s="28">
        <f t="shared" si="8"/>
        <v>0.944526627281847</v>
      </c>
      <c r="V10" s="28">
        <f t="shared" si="9"/>
        <v>0.7095476583728489</v>
      </c>
      <c r="W10" s="28">
        <f t="shared" si="10"/>
        <v>1.1474456908785113</v>
      </c>
      <c r="X10" s="28">
        <f t="shared" si="11"/>
        <v>1.3311672812054054</v>
      </c>
      <c r="Y10" s="29">
        <f t="shared" si="15"/>
        <v>1.2183788183896525</v>
      </c>
    </row>
    <row r="11" spans="1:25" ht="11.25">
      <c r="A11" s="6">
        <v>6</v>
      </c>
      <c r="B11" s="7" t="s">
        <v>53</v>
      </c>
      <c r="C11" s="49">
        <v>1768</v>
      </c>
      <c r="D11" s="8"/>
      <c r="E11" s="8">
        <v>1088</v>
      </c>
      <c r="F11" s="25">
        <v>2549.09</v>
      </c>
      <c r="G11" s="25">
        <v>36.42</v>
      </c>
      <c r="H11" s="26">
        <v>5640</v>
      </c>
      <c r="I11" s="26">
        <f t="shared" si="0"/>
        <v>14376867.600000001</v>
      </c>
      <c r="J11" s="27">
        <f>'ИБР 2023'!G11*'ИБР 2023'!H11/'ИБР 2023'!$H$16</f>
        <v>1.8535521887041033</v>
      </c>
      <c r="K11" s="28">
        <f t="shared" si="1"/>
        <v>1.2026018099547513</v>
      </c>
      <c r="L11" s="28">
        <f t="shared" si="12"/>
        <v>1.6153846153846154</v>
      </c>
      <c r="M11" s="28">
        <f t="shared" si="13"/>
        <v>1</v>
      </c>
      <c r="N11" s="28">
        <f t="shared" si="2"/>
        <v>1.0024134753722054</v>
      </c>
      <c r="O11" s="17">
        <f t="shared" si="3"/>
        <v>2126.2000000000003</v>
      </c>
      <c r="P11" s="17">
        <f t="shared" si="14"/>
        <v>2856</v>
      </c>
      <c r="Q11" s="17">
        <f t="shared" si="4"/>
        <v>1768</v>
      </c>
      <c r="R11" s="17">
        <f t="shared" si="5"/>
        <v>2131.3315313363833</v>
      </c>
      <c r="S11" s="17">
        <f t="shared" si="6"/>
        <v>2856</v>
      </c>
      <c r="T11" s="28">
        <f t="shared" si="7"/>
        <v>1.2026018099547513</v>
      </c>
      <c r="U11" s="28">
        <f t="shared" si="8"/>
        <v>0.9483360402392791</v>
      </c>
      <c r="V11" s="28">
        <f t="shared" si="9"/>
        <v>0.7095476583728489</v>
      </c>
      <c r="W11" s="28">
        <f t="shared" si="10"/>
        <v>1.2055042598056467</v>
      </c>
      <c r="X11" s="28">
        <f t="shared" si="11"/>
        <v>1.3365360720293622</v>
      </c>
      <c r="Y11" s="29">
        <f t="shared" si="15"/>
        <v>1.2558520296116629</v>
      </c>
    </row>
    <row r="12" spans="1:25" ht="11.25">
      <c r="A12" s="6">
        <v>7</v>
      </c>
      <c r="B12" s="7" t="s">
        <v>54</v>
      </c>
      <c r="C12" s="49">
        <v>870</v>
      </c>
      <c r="D12" s="8"/>
      <c r="E12" s="8">
        <v>135</v>
      </c>
      <c r="F12" s="25">
        <v>2549.09</v>
      </c>
      <c r="G12" s="25">
        <v>36.42</v>
      </c>
      <c r="H12" s="26">
        <v>6002.5</v>
      </c>
      <c r="I12" s="26">
        <f t="shared" si="0"/>
        <v>15300912.725000001</v>
      </c>
      <c r="J12" s="27">
        <f>'ИБР 2023'!G12*'ИБР 2023'!H12/'ИБР 2023'!$H$16</f>
        <v>1.9726856405490034</v>
      </c>
      <c r="K12" s="28">
        <f t="shared" si="1"/>
        <v>1.8245977011494254</v>
      </c>
      <c r="L12" s="28">
        <f t="shared" si="12"/>
        <v>1.1551724137931034</v>
      </c>
      <c r="M12" s="28">
        <f t="shared" si="13"/>
        <v>1</v>
      </c>
      <c r="N12" s="28">
        <f t="shared" si="2"/>
        <v>1.0024134753722054</v>
      </c>
      <c r="O12" s="17">
        <f t="shared" si="3"/>
        <v>1587.4</v>
      </c>
      <c r="P12" s="17">
        <f t="shared" si="14"/>
        <v>1005</v>
      </c>
      <c r="Q12" s="17">
        <f t="shared" si="4"/>
        <v>870</v>
      </c>
      <c r="R12" s="17">
        <f t="shared" si="5"/>
        <v>1591.231150805839</v>
      </c>
      <c r="S12" s="17">
        <f t="shared" si="6"/>
        <v>1005</v>
      </c>
      <c r="T12" s="28">
        <f t="shared" si="7"/>
        <v>1.8245977011494254</v>
      </c>
      <c r="U12" s="28">
        <f t="shared" si="8"/>
        <v>0.6781614869034582</v>
      </c>
      <c r="V12" s="28">
        <f t="shared" si="9"/>
        <v>0.7095476583728489</v>
      </c>
      <c r="W12" s="28">
        <f t="shared" si="10"/>
        <v>1.8290013227653321</v>
      </c>
      <c r="X12" s="28">
        <f t="shared" si="11"/>
        <v>0.9557659431342976</v>
      </c>
      <c r="Y12" s="29">
        <f t="shared" si="15"/>
        <v>1.487294583089093</v>
      </c>
    </row>
    <row r="13" spans="1:25" ht="11.25">
      <c r="A13" s="6">
        <v>8</v>
      </c>
      <c r="B13" s="7" t="s">
        <v>55</v>
      </c>
      <c r="C13" s="49">
        <v>1998</v>
      </c>
      <c r="D13" s="8"/>
      <c r="E13" s="8"/>
      <c r="F13" s="25">
        <v>2549.09</v>
      </c>
      <c r="G13" s="25">
        <v>36.42</v>
      </c>
      <c r="H13" s="26"/>
      <c r="I13" s="26"/>
      <c r="J13" s="27"/>
      <c r="K13" s="28">
        <f t="shared" si="1"/>
        <v>1.1332332332332333</v>
      </c>
      <c r="L13" s="28">
        <f t="shared" si="12"/>
        <v>1</v>
      </c>
      <c r="M13" s="28">
        <f t="shared" si="13"/>
        <v>1</v>
      </c>
      <c r="N13" s="28">
        <f t="shared" si="2"/>
        <v>1.0024134753722054</v>
      </c>
      <c r="O13" s="17">
        <f t="shared" si="3"/>
        <v>2264.2000000000003</v>
      </c>
      <c r="P13" s="17">
        <f t="shared" si="14"/>
        <v>1998</v>
      </c>
      <c r="Q13" s="17">
        <f t="shared" si="4"/>
        <v>1998</v>
      </c>
      <c r="R13" s="17">
        <f t="shared" si="5"/>
        <v>2269.6645909377476</v>
      </c>
      <c r="S13" s="17">
        <f t="shared" si="6"/>
        <v>1998</v>
      </c>
      <c r="T13" s="28">
        <f t="shared" si="7"/>
        <v>1.1332332332332333</v>
      </c>
      <c r="U13" s="28">
        <f t="shared" si="8"/>
        <v>0.5870651677671728</v>
      </c>
      <c r="V13" s="28">
        <f t="shared" si="9"/>
        <v>0.7095476583728489</v>
      </c>
      <c r="W13" s="28">
        <f t="shared" si="10"/>
        <v>1.1359682637326063</v>
      </c>
      <c r="X13" s="28">
        <f t="shared" si="11"/>
        <v>0.8273794731610338</v>
      </c>
      <c r="Y13" s="29">
        <f t="shared" si="15"/>
        <v>1.014907527479856</v>
      </c>
    </row>
    <row r="14" spans="1:25" ht="11.25">
      <c r="A14" s="6">
        <v>9</v>
      </c>
      <c r="B14" s="7" t="s">
        <v>56</v>
      </c>
      <c r="C14" s="49">
        <v>727</v>
      </c>
      <c r="D14" s="8"/>
      <c r="E14" s="8">
        <v>727</v>
      </c>
      <c r="F14" s="25">
        <v>2549.09</v>
      </c>
      <c r="G14" s="25">
        <v>36.42</v>
      </c>
      <c r="H14" s="26">
        <v>14166.2</v>
      </c>
      <c r="I14" s="26">
        <f>F14*H14</f>
        <v>36110918.758</v>
      </c>
      <c r="J14" s="27">
        <f>'ИБР 2023'!G14*'ИБР 2023'!H14/'ИБР 2023'!$H$16</f>
        <v>4.655636704897176</v>
      </c>
      <c r="K14" s="28">
        <f t="shared" si="1"/>
        <v>2.065474552957359</v>
      </c>
      <c r="L14" s="28">
        <f t="shared" si="12"/>
        <v>2</v>
      </c>
      <c r="M14" s="28">
        <f t="shared" si="13"/>
        <v>1</v>
      </c>
      <c r="N14" s="28">
        <f t="shared" si="2"/>
        <v>1.0024134753722054</v>
      </c>
      <c r="O14" s="17">
        <f t="shared" si="3"/>
        <v>1501.6000000000001</v>
      </c>
      <c r="P14" s="17">
        <f t="shared" si="14"/>
        <v>1454</v>
      </c>
      <c r="Q14" s="17">
        <f t="shared" si="4"/>
        <v>727</v>
      </c>
      <c r="R14" s="17">
        <f t="shared" si="5"/>
        <v>1505.2240746189038</v>
      </c>
      <c r="S14" s="17">
        <f t="shared" si="6"/>
        <v>1454</v>
      </c>
      <c r="T14" s="28">
        <f t="shared" si="7"/>
        <v>2.065474552957359</v>
      </c>
      <c r="U14" s="28">
        <f t="shared" si="8"/>
        <v>1.1741303355343455</v>
      </c>
      <c r="V14" s="28">
        <f t="shared" si="9"/>
        <v>0.7095476583728489</v>
      </c>
      <c r="W14" s="28">
        <f t="shared" si="10"/>
        <v>2.070459524922839</v>
      </c>
      <c r="X14" s="28">
        <f t="shared" si="11"/>
        <v>1.6547589463220675</v>
      </c>
      <c r="Y14" s="29">
        <f t="shared" si="15"/>
        <v>1.9070402065575132</v>
      </c>
    </row>
    <row r="15" spans="1:25" ht="11.25">
      <c r="A15" s="6">
        <v>10</v>
      </c>
      <c r="B15" s="7" t="s">
        <v>57</v>
      </c>
      <c r="C15" s="49">
        <v>1949</v>
      </c>
      <c r="D15" s="8"/>
      <c r="E15" s="8">
        <v>441</v>
      </c>
      <c r="F15" s="25">
        <v>2549.09</v>
      </c>
      <c r="G15" s="25">
        <v>36.42</v>
      </c>
      <c r="H15" s="26">
        <v>12853.2</v>
      </c>
      <c r="I15" s="26">
        <f>F15*H15</f>
        <v>32763963.588000003</v>
      </c>
      <c r="J15" s="27">
        <f>'ИБР 2023'!G15*'ИБР 2023'!H15/'ИБР 2023'!$H$16</f>
        <v>4.224127126214819</v>
      </c>
      <c r="K15" s="28">
        <f t="shared" si="1"/>
        <v>1.1466393022062595</v>
      </c>
      <c r="L15" s="28">
        <f t="shared" si="12"/>
        <v>1.2262698819907645</v>
      </c>
      <c r="M15" s="28">
        <f t="shared" si="13"/>
        <v>1</v>
      </c>
      <c r="N15" s="28">
        <f t="shared" si="2"/>
        <v>1.0024134753722054</v>
      </c>
      <c r="O15" s="17">
        <f t="shared" si="3"/>
        <v>2234.7999999999997</v>
      </c>
      <c r="P15" s="17">
        <f t="shared" si="14"/>
        <v>2390</v>
      </c>
      <c r="Q15" s="17">
        <f t="shared" si="4"/>
        <v>1949</v>
      </c>
      <c r="R15" s="17">
        <f t="shared" si="5"/>
        <v>2240.1936347618043</v>
      </c>
      <c r="S15" s="17">
        <f t="shared" si="6"/>
        <v>2390</v>
      </c>
      <c r="T15" s="28">
        <f t="shared" si="7"/>
        <v>1.1466393022062595</v>
      </c>
      <c r="U15" s="28">
        <f t="shared" si="8"/>
        <v>0.7199003339987393</v>
      </c>
      <c r="V15" s="28">
        <f t="shared" si="9"/>
        <v>0.7095476583728489</v>
      </c>
      <c r="W15" s="28">
        <f t="shared" si="10"/>
        <v>1.149406687922937</v>
      </c>
      <c r="X15" s="28">
        <f t="shared" si="11"/>
        <v>1.0145905289147616</v>
      </c>
      <c r="Y15" s="29">
        <f t="shared" si="15"/>
        <v>1.0961088656234126</v>
      </c>
    </row>
    <row r="16" spans="1:25" ht="12.75">
      <c r="A16" s="12"/>
      <c r="B16" s="13" t="s">
        <v>11</v>
      </c>
      <c r="C16" s="13">
        <f>SUM(C6:C15)</f>
        <v>26635</v>
      </c>
      <c r="D16" s="30">
        <f>SUM(D6:D15)</f>
        <v>10903</v>
      </c>
      <c r="E16" s="30">
        <f>SUM(E6:E15)</f>
        <v>5557</v>
      </c>
      <c r="F16" s="25">
        <v>2474.44</v>
      </c>
      <c r="G16" s="25">
        <v>36.42</v>
      </c>
      <c r="H16" s="31">
        <f>SUM(H6:H15)</f>
        <v>110819</v>
      </c>
      <c r="I16" s="31">
        <f>SUM(I6:I15)</f>
        <v>282487604.71</v>
      </c>
      <c r="J16" s="32">
        <f>SUM(J6:J15)</f>
        <v>36.42</v>
      </c>
      <c r="K16" s="29">
        <f>IF(C16&lt;&gt;0,0.6+0.4*($C$16/COUNT($A$6:$A$15))/(C16/COUNT($A$6:$A$15)),0)</f>
        <v>1</v>
      </c>
      <c r="L16" s="29">
        <f>IF(C16&lt;&gt;0,1+E16/C16,0)</f>
        <v>1.208635254364558</v>
      </c>
      <c r="M16" s="29">
        <f>IF(C16&lt;&gt;0,1+D16/C16,0)</f>
        <v>1.409348601464239</v>
      </c>
      <c r="N16" s="29">
        <f t="shared" si="2"/>
        <v>1</v>
      </c>
      <c r="O16" s="33">
        <f t="shared" si="3"/>
        <v>26635</v>
      </c>
      <c r="P16" s="33">
        <f t="shared" si="14"/>
        <v>45369.750178336784</v>
      </c>
      <c r="Q16" s="33">
        <f t="shared" si="4"/>
        <v>37538</v>
      </c>
      <c r="R16" s="33">
        <f t="shared" si="5"/>
        <v>26635</v>
      </c>
      <c r="S16" s="33">
        <f t="shared" si="6"/>
        <v>32192.000000000004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B1:N1"/>
    <mergeCell ref="F3:G3"/>
    <mergeCell ref="E3:E4"/>
    <mergeCell ref="O3:S3"/>
    <mergeCell ref="T3:X3"/>
    <mergeCell ref="Y3:Y4"/>
    <mergeCell ref="K3:N3"/>
    <mergeCell ref="A3:A4"/>
    <mergeCell ref="C3:C4"/>
    <mergeCell ref="B3:B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7" t="s">
        <v>71</v>
      </c>
      <c r="D1" s="67"/>
      <c r="E1" s="67"/>
      <c r="F1" s="67"/>
      <c r="G1" s="67"/>
      <c r="H1" s="67"/>
      <c r="I1" s="67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70" t="s">
        <v>0</v>
      </c>
      <c r="B3" s="70" t="s">
        <v>1</v>
      </c>
      <c r="C3" s="69" t="s">
        <v>2</v>
      </c>
      <c r="D3" s="70" t="s">
        <v>3</v>
      </c>
      <c r="E3" s="70"/>
      <c r="F3" s="70"/>
      <c r="G3" s="70"/>
      <c r="H3" s="70" t="s">
        <v>4</v>
      </c>
      <c r="I3" s="70"/>
      <c r="J3" s="70"/>
      <c r="K3" s="70"/>
      <c r="L3" s="70" t="s">
        <v>5</v>
      </c>
      <c r="M3" s="70"/>
      <c r="N3" s="70"/>
      <c r="O3" s="70"/>
      <c r="P3" s="70" t="s">
        <v>6</v>
      </c>
      <c r="Q3" s="70"/>
      <c r="R3" s="70"/>
      <c r="S3" s="70"/>
      <c r="T3" s="68" t="s">
        <v>7</v>
      </c>
      <c r="U3" s="68" t="s">
        <v>44</v>
      </c>
      <c r="V3" s="68" t="s">
        <v>45</v>
      </c>
      <c r="W3" s="68" t="s">
        <v>46</v>
      </c>
      <c r="X3" s="68" t="s">
        <v>47</v>
      </c>
    </row>
    <row r="4" spans="1:24" ht="90" customHeight="1">
      <c r="A4" s="70"/>
      <c r="B4" s="70"/>
      <c r="C4" s="69"/>
      <c r="D4" s="3" t="s">
        <v>8</v>
      </c>
      <c r="E4" s="46" t="s">
        <v>58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59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59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0,003007, контингент</v>
      </c>
      <c r="P4" s="3" t="s">
        <v>12</v>
      </c>
      <c r="Q4" s="46" t="s">
        <v>60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0,030006, контингент</v>
      </c>
      <c r="T4" s="68"/>
      <c r="U4" s="68"/>
      <c r="V4" s="68"/>
      <c r="W4" s="68"/>
      <c r="X4" s="68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9104</v>
      </c>
      <c r="D6" s="9">
        <v>943594.8</v>
      </c>
      <c r="E6" s="9"/>
      <c r="F6" s="55" t="s">
        <v>10</v>
      </c>
      <c r="G6" s="53">
        <f aca="true" t="shared" si="0" ref="G6:G15">D6*$F$16*0.1</f>
        <v>12266.732708365356</v>
      </c>
      <c r="H6" s="9">
        <v>763333</v>
      </c>
      <c r="I6" s="9">
        <v>2290</v>
      </c>
      <c r="J6" s="10" t="s">
        <v>10</v>
      </c>
      <c r="K6" s="11">
        <f aca="true" t="shared" si="1" ref="K6:K15">H6*$J$16</f>
        <v>2289.99955380884</v>
      </c>
      <c r="L6" s="9">
        <v>1340333.3</v>
      </c>
      <c r="M6" s="9">
        <v>4021</v>
      </c>
      <c r="N6" s="10" t="s">
        <v>10</v>
      </c>
      <c r="O6" s="11">
        <f aca="true" t="shared" si="2" ref="O6:O15">L6*$N$16</f>
        <v>4030.385894931891</v>
      </c>
      <c r="P6" s="9">
        <v>32666.7</v>
      </c>
      <c r="Q6" s="9">
        <v>980</v>
      </c>
      <c r="R6" s="10" t="s">
        <v>10</v>
      </c>
      <c r="S6" s="11">
        <f aca="true" t="shared" si="3" ref="S6:S15">P6*$R$16</f>
        <v>980.1814014849359</v>
      </c>
      <c r="T6" s="11">
        <f aca="true" t="shared" si="4" ref="T6:T16">S6+O6+K6+G6</f>
        <v>19567.299558591025</v>
      </c>
      <c r="U6" s="45">
        <v>532.2</v>
      </c>
      <c r="V6" s="11">
        <f>T6+U6</f>
        <v>20099.499558591026</v>
      </c>
      <c r="W6" s="11">
        <f>IF(C6&lt;&gt;0,V6/C6,0)</f>
        <v>2.20776576873803</v>
      </c>
      <c r="X6" s="36">
        <f aca="true" t="shared" si="5" ref="X6:X16">IF($W$16&lt;&gt;0,W6/$W$16,0)</f>
        <v>1.0547240704656269</v>
      </c>
    </row>
    <row r="7" spans="1:24" ht="12.75">
      <c r="A7" s="6">
        <v>2</v>
      </c>
      <c r="B7" s="7" t="s">
        <v>49</v>
      </c>
      <c r="C7" s="49">
        <v>5060</v>
      </c>
      <c r="D7" s="9">
        <v>341001</v>
      </c>
      <c r="E7" s="9"/>
      <c r="F7" s="55" t="s">
        <v>10</v>
      </c>
      <c r="G7" s="53">
        <f t="shared" si="0"/>
        <v>4433.013111438612</v>
      </c>
      <c r="H7" s="9">
        <v>148333.3</v>
      </c>
      <c r="I7" s="9">
        <v>445</v>
      </c>
      <c r="J7" s="10" t="s">
        <v>10</v>
      </c>
      <c r="K7" s="11">
        <f t="shared" si="1"/>
        <v>445.00000761789784</v>
      </c>
      <c r="L7" s="9">
        <v>859000</v>
      </c>
      <c r="M7" s="9">
        <v>2577</v>
      </c>
      <c r="N7" s="10" t="s">
        <v>10</v>
      </c>
      <c r="O7" s="11">
        <f t="shared" si="2"/>
        <v>2583.0153468144786</v>
      </c>
      <c r="P7" s="9">
        <v>43333.3</v>
      </c>
      <c r="Q7" s="9">
        <v>1300</v>
      </c>
      <c r="R7" s="10" t="s">
        <v>10</v>
      </c>
      <c r="S7" s="11">
        <f t="shared" si="3"/>
        <v>1300.2383076639874</v>
      </c>
      <c r="T7" s="11">
        <f t="shared" si="4"/>
        <v>8761.266773534975</v>
      </c>
      <c r="U7" s="45">
        <v>295.8</v>
      </c>
      <c r="V7" s="11">
        <f aca="true" t="shared" si="6" ref="V7:V15">T7+U7</f>
        <v>9057.066773534974</v>
      </c>
      <c r="W7" s="11">
        <f aca="true" t="shared" si="7" ref="W7:W16">IF(C7&lt;&gt;0,V7/C7,0)</f>
        <v>1.7899341449673862</v>
      </c>
      <c r="X7" s="36">
        <f t="shared" si="5"/>
        <v>0.8551118302393731</v>
      </c>
    </row>
    <row r="8" spans="1:24" ht="12.75">
      <c r="A8" s="6">
        <v>3</v>
      </c>
      <c r="B8" s="7" t="s">
        <v>50</v>
      </c>
      <c r="C8" s="49">
        <v>2481</v>
      </c>
      <c r="D8" s="9">
        <v>171019.4</v>
      </c>
      <c r="E8" s="9"/>
      <c r="F8" s="55" t="s">
        <v>10</v>
      </c>
      <c r="G8" s="53">
        <f t="shared" si="0"/>
        <v>2223.2522558888813</v>
      </c>
      <c r="H8" s="9">
        <v>125000</v>
      </c>
      <c r="I8" s="9">
        <v>375</v>
      </c>
      <c r="J8" s="10" t="s">
        <v>10</v>
      </c>
      <c r="K8" s="11">
        <f t="shared" si="1"/>
        <v>375.00009068926016</v>
      </c>
      <c r="L8" s="9">
        <v>897333.3</v>
      </c>
      <c r="M8" s="9">
        <v>2692</v>
      </c>
      <c r="N8" s="10" t="s">
        <v>10</v>
      </c>
      <c r="O8" s="11">
        <f t="shared" si="2"/>
        <v>2698.283684642236</v>
      </c>
      <c r="P8" s="9">
        <v>41000</v>
      </c>
      <c r="Q8" s="9">
        <v>1230</v>
      </c>
      <c r="R8" s="10" t="s">
        <v>10</v>
      </c>
      <c r="S8" s="11">
        <f t="shared" si="3"/>
        <v>1230.2264220408665</v>
      </c>
      <c r="T8" s="11">
        <f t="shared" si="4"/>
        <v>6526.762453261244</v>
      </c>
      <c r="U8" s="45">
        <v>145</v>
      </c>
      <c r="V8" s="11">
        <f t="shared" si="6"/>
        <v>6671.762453261244</v>
      </c>
      <c r="W8" s="11">
        <f t="shared" si="7"/>
        <v>2.6891424640311343</v>
      </c>
      <c r="X8" s="36">
        <f t="shared" si="5"/>
        <v>1.284693931705504</v>
      </c>
    </row>
    <row r="9" spans="1:24" ht="12.75">
      <c r="A9" s="6">
        <v>4</v>
      </c>
      <c r="B9" s="7" t="s">
        <v>51</v>
      </c>
      <c r="C9" s="49">
        <v>722</v>
      </c>
      <c r="D9" s="9">
        <v>49768.6</v>
      </c>
      <c r="E9" s="9"/>
      <c r="F9" s="55" t="s">
        <v>10</v>
      </c>
      <c r="G9" s="53">
        <f t="shared" si="0"/>
        <v>646.9918162643033</v>
      </c>
      <c r="H9" s="9">
        <v>19666.7</v>
      </c>
      <c r="I9" s="9">
        <v>59</v>
      </c>
      <c r="J9" s="10" t="s">
        <v>10</v>
      </c>
      <c r="K9" s="11">
        <f t="shared" si="1"/>
        <v>59.00011426846778</v>
      </c>
      <c r="L9" s="9">
        <v>257000</v>
      </c>
      <c r="M9" s="9">
        <v>771</v>
      </c>
      <c r="N9" s="10" t="s">
        <v>10</v>
      </c>
      <c r="O9" s="11">
        <f t="shared" si="2"/>
        <v>772.799702131922</v>
      </c>
      <c r="P9" s="9">
        <v>35000</v>
      </c>
      <c r="Q9" s="9">
        <v>1050</v>
      </c>
      <c r="R9" s="10" t="s">
        <v>10</v>
      </c>
      <c r="S9" s="11">
        <f t="shared" si="3"/>
        <v>1050.1932871080567</v>
      </c>
      <c r="T9" s="11">
        <f t="shared" si="4"/>
        <v>2528.98491977275</v>
      </c>
      <c r="U9" s="45">
        <v>42.2</v>
      </c>
      <c r="V9" s="11">
        <f t="shared" si="6"/>
        <v>2571.1849197727497</v>
      </c>
      <c r="W9" s="11">
        <f t="shared" si="7"/>
        <v>3.561197949823753</v>
      </c>
      <c r="X9" s="36">
        <f t="shared" si="5"/>
        <v>1.7013042101467808</v>
      </c>
    </row>
    <row r="10" spans="1:24" ht="12.75">
      <c r="A10" s="6">
        <v>5</v>
      </c>
      <c r="B10" s="7" t="s">
        <v>52</v>
      </c>
      <c r="C10" s="49">
        <v>1956</v>
      </c>
      <c r="D10" s="9">
        <v>70114</v>
      </c>
      <c r="E10" s="9"/>
      <c r="F10" s="55" t="s">
        <v>10</v>
      </c>
      <c r="G10" s="53">
        <f t="shared" si="0"/>
        <v>911.4820229131492</v>
      </c>
      <c r="H10" s="9">
        <v>61666.7</v>
      </c>
      <c r="I10" s="9">
        <v>185</v>
      </c>
      <c r="J10" s="10" t="s">
        <v>10</v>
      </c>
      <c r="K10" s="11">
        <f t="shared" si="1"/>
        <v>185.00014474005917</v>
      </c>
      <c r="L10" s="9">
        <v>682500</v>
      </c>
      <c r="M10" s="9">
        <v>2088</v>
      </c>
      <c r="N10" s="10" t="s">
        <v>10</v>
      </c>
      <c r="O10" s="11">
        <f t="shared" si="2"/>
        <v>2052.279364611038</v>
      </c>
      <c r="P10" s="9">
        <v>3500</v>
      </c>
      <c r="Q10" s="9">
        <v>105</v>
      </c>
      <c r="R10" s="10" t="s">
        <v>10</v>
      </c>
      <c r="S10" s="11">
        <f t="shared" si="3"/>
        <v>105.01932871080567</v>
      </c>
      <c r="T10" s="11">
        <f t="shared" si="4"/>
        <v>3253.780860975052</v>
      </c>
      <c r="U10" s="45">
        <v>114.3</v>
      </c>
      <c r="V10" s="11">
        <f t="shared" si="6"/>
        <v>3368.080860975052</v>
      </c>
      <c r="W10" s="11">
        <f t="shared" si="7"/>
        <v>1.7219227305598426</v>
      </c>
      <c r="X10" s="36">
        <f t="shared" si="5"/>
        <v>0.8226204867926215</v>
      </c>
    </row>
    <row r="11" spans="1:24" ht="12.75">
      <c r="A11" s="6">
        <v>6</v>
      </c>
      <c r="B11" s="7" t="s">
        <v>53</v>
      </c>
      <c r="C11" s="49">
        <v>1768</v>
      </c>
      <c r="D11" s="9">
        <v>74587</v>
      </c>
      <c r="E11" s="9"/>
      <c r="F11" s="55" t="s">
        <v>10</v>
      </c>
      <c r="G11" s="53">
        <f t="shared" si="0"/>
        <v>969.631024374919</v>
      </c>
      <c r="H11" s="9">
        <v>56000</v>
      </c>
      <c r="I11" s="9">
        <v>168</v>
      </c>
      <c r="J11" s="10" t="s">
        <v>10</v>
      </c>
      <c r="K11" s="11">
        <f t="shared" si="1"/>
        <v>168.00004062878855</v>
      </c>
      <c r="L11" s="9">
        <v>499666.7</v>
      </c>
      <c r="M11" s="9">
        <v>1499</v>
      </c>
      <c r="N11" s="10" t="s">
        <v>10</v>
      </c>
      <c r="O11" s="11">
        <f t="shared" si="2"/>
        <v>1502.4991320048266</v>
      </c>
      <c r="P11" s="9">
        <v>106666.7</v>
      </c>
      <c r="Q11" s="9">
        <v>3200</v>
      </c>
      <c r="R11" s="10" t="s">
        <v>10</v>
      </c>
      <c r="S11" s="11">
        <f t="shared" si="3"/>
        <v>3200.590065656256</v>
      </c>
      <c r="T11" s="11">
        <f t="shared" si="4"/>
        <v>5840.720262664789</v>
      </c>
      <c r="U11" s="45">
        <v>103.3</v>
      </c>
      <c r="V11" s="11">
        <f t="shared" si="6"/>
        <v>5944.020262664789</v>
      </c>
      <c r="W11" s="11">
        <f t="shared" si="7"/>
        <v>3.3620024110094957</v>
      </c>
      <c r="X11" s="36">
        <f t="shared" si="5"/>
        <v>1.6061417918813417</v>
      </c>
    </row>
    <row r="12" spans="1:24" ht="12.75">
      <c r="A12" s="6">
        <v>7</v>
      </c>
      <c r="B12" s="7" t="s">
        <v>54</v>
      </c>
      <c r="C12" s="49">
        <v>870</v>
      </c>
      <c r="D12" s="9">
        <v>21986</v>
      </c>
      <c r="E12" s="9"/>
      <c r="F12" s="55" t="s">
        <v>10</v>
      </c>
      <c r="G12" s="53">
        <f t="shared" si="0"/>
        <v>285.8180071849916</v>
      </c>
      <c r="H12" s="9">
        <v>35333.3</v>
      </c>
      <c r="I12" s="9">
        <v>106</v>
      </c>
      <c r="J12" s="10" t="s">
        <v>10</v>
      </c>
      <c r="K12" s="11">
        <f t="shared" si="1"/>
        <v>105.99992563480669</v>
      </c>
      <c r="L12" s="9">
        <v>349666.7</v>
      </c>
      <c r="M12" s="9">
        <v>1049</v>
      </c>
      <c r="N12" s="10" t="s">
        <v>10</v>
      </c>
      <c r="O12" s="11">
        <f t="shared" si="2"/>
        <v>1051.4487222002028</v>
      </c>
      <c r="P12" s="9">
        <v>6</v>
      </c>
      <c r="Q12" s="9">
        <v>1.8</v>
      </c>
      <c r="R12" s="10" t="s">
        <v>10</v>
      </c>
      <c r="S12" s="11">
        <f t="shared" si="3"/>
        <v>0.18003313493280973</v>
      </c>
      <c r="T12" s="11">
        <f t="shared" si="4"/>
        <v>1443.4466881549338</v>
      </c>
      <c r="U12" s="45">
        <v>50.9</v>
      </c>
      <c r="V12" s="11">
        <f t="shared" si="6"/>
        <v>1494.3466881549339</v>
      </c>
      <c r="W12" s="11">
        <f t="shared" si="7"/>
        <v>1.7176398714424528</v>
      </c>
      <c r="X12" s="36">
        <f t="shared" si="5"/>
        <v>0.8205744207354843</v>
      </c>
    </row>
    <row r="13" spans="1:24" ht="12.75">
      <c r="A13" s="6">
        <v>8</v>
      </c>
      <c r="B13" s="7" t="s">
        <v>55</v>
      </c>
      <c r="C13" s="49">
        <v>1998</v>
      </c>
      <c r="D13" s="9">
        <v>81954</v>
      </c>
      <c r="E13" s="9"/>
      <c r="F13" s="55" t="s">
        <v>10</v>
      </c>
      <c r="G13" s="53">
        <f t="shared" si="0"/>
        <v>1065.4020267824433</v>
      </c>
      <c r="H13" s="9">
        <v>92666.7</v>
      </c>
      <c r="I13" s="9">
        <v>278</v>
      </c>
      <c r="J13" s="10" t="s">
        <v>10</v>
      </c>
      <c r="K13" s="11">
        <f t="shared" si="1"/>
        <v>278.0001672309957</v>
      </c>
      <c r="L13" s="9">
        <v>558666.7</v>
      </c>
      <c r="M13" s="9">
        <v>1676</v>
      </c>
      <c r="N13" s="10" t="s">
        <v>10</v>
      </c>
      <c r="O13" s="11">
        <f t="shared" si="2"/>
        <v>1679.9122931946451</v>
      </c>
      <c r="P13" s="9">
        <v>29746.7</v>
      </c>
      <c r="Q13" s="9">
        <v>892.4</v>
      </c>
      <c r="R13" s="10" t="s">
        <v>10</v>
      </c>
      <c r="S13" s="11">
        <f t="shared" si="3"/>
        <v>892.5652758176352</v>
      </c>
      <c r="T13" s="11">
        <f t="shared" si="4"/>
        <v>3915.8797630257195</v>
      </c>
      <c r="U13" s="45">
        <v>116.8</v>
      </c>
      <c r="V13" s="11">
        <f t="shared" si="6"/>
        <v>4032.6797630257197</v>
      </c>
      <c r="W13" s="11">
        <f t="shared" si="7"/>
        <v>2.0183582397526125</v>
      </c>
      <c r="X13" s="36">
        <f t="shared" si="5"/>
        <v>0.964237714178598</v>
      </c>
    </row>
    <row r="14" spans="1:24" ht="12.75">
      <c r="A14" s="6">
        <v>9</v>
      </c>
      <c r="B14" s="7" t="s">
        <v>56</v>
      </c>
      <c r="C14" s="49">
        <v>727</v>
      </c>
      <c r="D14" s="9">
        <v>15854</v>
      </c>
      <c r="E14" s="9"/>
      <c r="F14" s="55" t="s">
        <v>10</v>
      </c>
      <c r="G14" s="53">
        <f t="shared" si="0"/>
        <v>206.10200518106328</v>
      </c>
      <c r="H14" s="9">
        <v>21333.3</v>
      </c>
      <c r="I14" s="9">
        <v>64</v>
      </c>
      <c r="J14" s="10" t="s">
        <v>10</v>
      </c>
      <c r="K14" s="11">
        <f t="shared" si="1"/>
        <v>63.99991547760955</v>
      </c>
      <c r="L14" s="9">
        <v>107666.6</v>
      </c>
      <c r="M14" s="9">
        <v>323</v>
      </c>
      <c r="N14" s="10" t="s">
        <v>10</v>
      </c>
      <c r="O14" s="11">
        <f t="shared" si="2"/>
        <v>323.75376034847</v>
      </c>
      <c r="P14" s="9">
        <v>393.3</v>
      </c>
      <c r="Q14" s="9">
        <v>11.8</v>
      </c>
      <c r="R14" s="10" t="s">
        <v>10</v>
      </c>
      <c r="S14" s="11">
        <f t="shared" si="3"/>
        <v>11.801171994845678</v>
      </c>
      <c r="T14" s="11">
        <f t="shared" si="4"/>
        <v>605.6568530019885</v>
      </c>
      <c r="U14" s="45">
        <v>42.5</v>
      </c>
      <c r="V14" s="11">
        <f t="shared" si="6"/>
        <v>648.1568530019885</v>
      </c>
      <c r="W14" s="11">
        <f t="shared" si="7"/>
        <v>0.8915500041292826</v>
      </c>
      <c r="X14" s="36">
        <f t="shared" si="5"/>
        <v>0.42592346647189216</v>
      </c>
    </row>
    <row r="15" spans="1:24" ht="12.75">
      <c r="A15" s="6">
        <v>10</v>
      </c>
      <c r="B15" s="7" t="s">
        <v>57</v>
      </c>
      <c r="C15" s="49">
        <v>1949</v>
      </c>
      <c r="D15" s="9">
        <v>66115</v>
      </c>
      <c r="E15" s="9"/>
      <c r="F15" s="55" t="s">
        <v>10</v>
      </c>
      <c r="G15" s="53">
        <f t="shared" si="0"/>
        <v>859.4950216062822</v>
      </c>
      <c r="H15" s="9">
        <v>55000</v>
      </c>
      <c r="I15" s="9">
        <v>165</v>
      </c>
      <c r="J15" s="10" t="s">
        <v>10</v>
      </c>
      <c r="K15" s="11">
        <f t="shared" si="1"/>
        <v>165.00003990327446</v>
      </c>
      <c r="L15" s="9">
        <v>231666.6</v>
      </c>
      <c r="M15" s="9">
        <v>695</v>
      </c>
      <c r="N15" s="10" t="s">
        <v>10</v>
      </c>
      <c r="O15" s="11">
        <f t="shared" si="2"/>
        <v>696.6220991202923</v>
      </c>
      <c r="P15" s="9">
        <v>1033.3</v>
      </c>
      <c r="Q15" s="9">
        <v>31</v>
      </c>
      <c r="R15" s="10" t="s">
        <v>10</v>
      </c>
      <c r="S15" s="11">
        <f t="shared" si="3"/>
        <v>31.004706387678713</v>
      </c>
      <c r="T15" s="11">
        <f t="shared" si="4"/>
        <v>1752.1218670175276</v>
      </c>
      <c r="U15" s="45">
        <v>113.9</v>
      </c>
      <c r="V15" s="11">
        <f t="shared" si="6"/>
        <v>1866.0218670175277</v>
      </c>
      <c r="W15" s="11">
        <f t="shared" si="7"/>
        <v>0.9574252781003221</v>
      </c>
      <c r="X15" s="36">
        <f t="shared" si="5"/>
        <v>0.4573943036818958</v>
      </c>
    </row>
    <row r="16" spans="1:24" ht="12.75">
      <c r="A16" s="12"/>
      <c r="B16" s="13" t="s">
        <v>11</v>
      </c>
      <c r="C16" s="13">
        <f>SUM(C6:C15)</f>
        <v>26635</v>
      </c>
      <c r="D16" s="14">
        <f>SUM(D6:D15)</f>
        <v>1835993.8</v>
      </c>
      <c r="E16" s="14">
        <v>238679.2</v>
      </c>
      <c r="F16" s="13">
        <f>IF(D16&lt;&gt;0,E16/D16,0)</f>
        <v>0.1300000032679849</v>
      </c>
      <c r="G16" s="14">
        <f>SUM(G6:G15)</f>
        <v>23867.92</v>
      </c>
      <c r="H16" s="14">
        <f>SUM(H6:H15)</f>
        <v>1378333</v>
      </c>
      <c r="I16" s="14">
        <f>SUM(I6:I15)</f>
        <v>4135</v>
      </c>
      <c r="J16" s="13">
        <f>IF(H16&lt;&gt;0,I16/H16,0)</f>
        <v>0.003000000725514081</v>
      </c>
      <c r="K16" s="14">
        <f>SUM(K6:K15)</f>
        <v>4135.000000000001</v>
      </c>
      <c r="L16" s="14">
        <f>SUM(L6:L15)</f>
        <v>5783499.899999999</v>
      </c>
      <c r="M16" s="14">
        <f>SUM(M6:M15)</f>
        <v>17391</v>
      </c>
      <c r="N16" s="13">
        <f>IF(L16&lt;&gt;0,M16/L16,0)</f>
        <v>0.003007002732030825</v>
      </c>
      <c r="O16" s="14">
        <f>SUM(O6:O15)</f>
        <v>17391.000000000004</v>
      </c>
      <c r="P16" s="14">
        <f>P6+P7+P8+P9+P10+P11+P12+P13++P14+P15</f>
        <v>293346</v>
      </c>
      <c r="Q16" s="14">
        <f>SUM(Q6:Q15)</f>
        <v>8802</v>
      </c>
      <c r="R16" s="13">
        <f>IF(P16&lt;&gt;0,Q16/P16,0)</f>
        <v>0.03000552248880162</v>
      </c>
      <c r="S16" s="14">
        <f>SUM(S6:S15)</f>
        <v>8802.000000000002</v>
      </c>
      <c r="T16" s="14">
        <f t="shared" si="4"/>
        <v>54195.920000000006</v>
      </c>
      <c r="U16" s="14">
        <f>SUM(U6:U15)</f>
        <v>1556.9</v>
      </c>
      <c r="V16" s="14">
        <f>U16+T16</f>
        <v>55752.82000000001</v>
      </c>
      <c r="W16" s="42">
        <f t="shared" si="7"/>
        <v>2.093216444527877</v>
      </c>
      <c r="X16" s="14">
        <f t="shared" si="5"/>
        <v>1</v>
      </c>
    </row>
  </sheetData>
  <sheetProtection/>
  <mergeCells count="13">
    <mergeCell ref="P3:S3"/>
    <mergeCell ref="U3:U4"/>
    <mergeCell ref="V3:V4"/>
    <mergeCell ref="C1:K1"/>
    <mergeCell ref="T3:T4"/>
    <mergeCell ref="C3:C4"/>
    <mergeCell ref="W3:W4"/>
    <mergeCell ref="X3:X4"/>
    <mergeCell ref="A3:A4"/>
    <mergeCell ref="B3:B4"/>
    <mergeCell ref="D3:G3"/>
    <mergeCell ref="H3:K3"/>
    <mergeCell ref="L3:O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110" zoomScaleNormal="110" zoomScaleSheetLayoutView="11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6" sqref="M26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9.00390625" style="1" customWidth="1"/>
    <col min="15" max="16384" width="8.00390625" style="1" customWidth="1"/>
  </cols>
  <sheetData>
    <row r="1" spans="3:8" ht="27" customHeight="1">
      <c r="C1" s="67" t="s">
        <v>74</v>
      </c>
      <c r="D1" s="67"/>
      <c r="E1" s="67"/>
      <c r="F1" s="67"/>
      <c r="G1" s="67"/>
      <c r="H1" s="67"/>
    </row>
    <row r="2" ht="12"/>
    <row r="3" spans="1:12" ht="30.75" customHeight="1">
      <c r="A3" s="70" t="s">
        <v>0</v>
      </c>
      <c r="B3" s="70" t="s">
        <v>1</v>
      </c>
      <c r="C3" s="69" t="s">
        <v>2</v>
      </c>
      <c r="D3" s="68" t="s">
        <v>47</v>
      </c>
      <c r="E3" s="60" t="s">
        <v>18</v>
      </c>
      <c r="F3" s="60" t="s">
        <v>14</v>
      </c>
      <c r="G3" s="60" t="s">
        <v>15</v>
      </c>
      <c r="H3" s="60" t="s">
        <v>17</v>
      </c>
      <c r="I3" s="62" t="s">
        <v>42</v>
      </c>
      <c r="J3" s="62" t="s">
        <v>40</v>
      </c>
      <c r="K3" s="60" t="s">
        <v>43</v>
      </c>
      <c r="L3" s="62" t="s">
        <v>41</v>
      </c>
    </row>
    <row r="4" spans="1:14" ht="90" customHeight="1">
      <c r="A4" s="70"/>
      <c r="B4" s="70"/>
      <c r="C4" s="69"/>
      <c r="D4" s="68"/>
      <c r="E4" s="61"/>
      <c r="F4" s="61"/>
      <c r="G4" s="61"/>
      <c r="H4" s="61"/>
      <c r="I4" s="62"/>
      <c r="J4" s="62"/>
      <c r="K4" s="61"/>
      <c r="L4" s="62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0.65</v>
      </c>
      <c r="H5" s="16">
        <v>3409.2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9104</v>
      </c>
      <c r="D6" s="28">
        <f>'ИНП 2023'!X6</f>
        <v>1.0547240704656269</v>
      </c>
      <c r="E6" s="28">
        <f>'ИБР 2023'!Y6</f>
        <v>0.7606692225190881</v>
      </c>
      <c r="F6" s="36">
        <f>IF(E6&lt;&gt;0,D6/E6,0)</f>
        <v>1.3865738736907551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23259.3+M6</f>
        <v>23791.5</v>
      </c>
      <c r="J6" s="40">
        <f>I6+H6</f>
        <v>23791.5</v>
      </c>
      <c r="K6" s="41">
        <v>23791.5</v>
      </c>
      <c r="L6" s="40">
        <f>J6-K6</f>
        <v>0</v>
      </c>
      <c r="M6" s="45">
        <v>532.2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5060</v>
      </c>
      <c r="D7" s="28">
        <f>'ИНП 2023'!X7</f>
        <v>0.8551118302393731</v>
      </c>
      <c r="E7" s="28">
        <f>'ИБР 2023'!Y7</f>
        <v>0.8934318722557186</v>
      </c>
      <c r="F7" s="36">
        <f aca="true" t="shared" si="2" ref="F7:F16">IF(E7&lt;&gt;0,D7/E7,0)</f>
        <v>0.9571091616425147</v>
      </c>
      <c r="G7" s="17">
        <f t="shared" si="0"/>
        <v>0</v>
      </c>
      <c r="H7" s="17">
        <f t="shared" si="1"/>
        <v>0</v>
      </c>
      <c r="I7" s="47">
        <f>13156+M7</f>
        <v>13451.8</v>
      </c>
      <c r="J7" s="40">
        <f aca="true" t="shared" si="3" ref="J7:J16">I7+H7</f>
        <v>13451.8</v>
      </c>
      <c r="K7" s="41">
        <v>13451.8</v>
      </c>
      <c r="L7" s="40">
        <f aca="true" t="shared" si="4" ref="L7:L16">J7-K7</f>
        <v>0</v>
      </c>
      <c r="M7" s="45">
        <v>295.8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2481</v>
      </c>
      <c r="D8" s="28">
        <f>'ИНП 2023'!X8</f>
        <v>1.284693931705504</v>
      </c>
      <c r="E8" s="28">
        <f>'ИБР 2023'!Y8</f>
        <v>0.9602099700543316</v>
      </c>
      <c r="F8" s="36">
        <f t="shared" si="2"/>
        <v>1.337930215026628</v>
      </c>
      <c r="G8" s="17">
        <f t="shared" si="0"/>
        <v>0</v>
      </c>
      <c r="H8" s="17">
        <f t="shared" si="1"/>
        <v>0</v>
      </c>
      <c r="I8" s="47">
        <f>8489.6+M8</f>
        <v>8634.6</v>
      </c>
      <c r="J8" s="40">
        <f t="shared" si="3"/>
        <v>8634.6</v>
      </c>
      <c r="K8" s="41">
        <v>8634.6</v>
      </c>
      <c r="L8" s="40">
        <f t="shared" si="4"/>
        <v>0</v>
      </c>
      <c r="M8" s="45">
        <v>145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722</v>
      </c>
      <c r="D9" s="28">
        <f>'ИНП 2023'!X9</f>
        <v>1.7013042101467808</v>
      </c>
      <c r="E9" s="28">
        <f>'ИБР 2023'!Y9</f>
        <v>1.9132394959457661</v>
      </c>
      <c r="F9" s="36">
        <f t="shared" si="2"/>
        <v>0.8892269962813935</v>
      </c>
      <c r="G9" s="17">
        <f t="shared" si="0"/>
        <v>0</v>
      </c>
      <c r="H9" s="17">
        <f t="shared" si="1"/>
        <v>0</v>
      </c>
      <c r="I9" s="47">
        <f>3572+M9</f>
        <v>3614.2</v>
      </c>
      <c r="J9" s="40">
        <f t="shared" si="3"/>
        <v>3614.2</v>
      </c>
      <c r="K9" s="41">
        <v>3614.2</v>
      </c>
      <c r="L9" s="40">
        <f t="shared" si="4"/>
        <v>0</v>
      </c>
      <c r="M9" s="45">
        <v>42.2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1956</v>
      </c>
      <c r="D10" s="28">
        <f>'ИНП 2023'!X10</f>
        <v>0.8226204867926215</v>
      </c>
      <c r="E10" s="28">
        <f>'ИБР 2023'!Y10</f>
        <v>1.2183788183896525</v>
      </c>
      <c r="F10" s="36">
        <f t="shared" si="2"/>
        <v>0.6751762870269609</v>
      </c>
      <c r="G10" s="17">
        <f t="shared" si="0"/>
        <v>0</v>
      </c>
      <c r="H10" s="17">
        <f t="shared" si="1"/>
        <v>0</v>
      </c>
      <c r="I10" s="47">
        <f>5485.5+M10</f>
        <v>5599.8</v>
      </c>
      <c r="J10" s="40">
        <f t="shared" si="3"/>
        <v>5599.8</v>
      </c>
      <c r="K10" s="41">
        <v>5599.8</v>
      </c>
      <c r="L10" s="40">
        <f t="shared" si="4"/>
        <v>0</v>
      </c>
      <c r="M10" s="45">
        <v>114.3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1768</v>
      </c>
      <c r="D11" s="28">
        <f>'ИНП 2023'!X11</f>
        <v>1.6061417918813417</v>
      </c>
      <c r="E11" s="28">
        <f>'ИБР 2023'!Y11</f>
        <v>1.2558520296116629</v>
      </c>
      <c r="F11" s="36">
        <f t="shared" si="2"/>
        <v>1.2789259833246407</v>
      </c>
      <c r="G11" s="17">
        <f t="shared" si="0"/>
        <v>0</v>
      </c>
      <c r="H11" s="17">
        <f t="shared" si="1"/>
        <v>0</v>
      </c>
      <c r="I11" s="47">
        <f>7575.2+M11</f>
        <v>7678.5</v>
      </c>
      <c r="J11" s="40">
        <f t="shared" si="3"/>
        <v>7678.5</v>
      </c>
      <c r="K11" s="41">
        <v>7678.5</v>
      </c>
      <c r="L11" s="40">
        <f t="shared" si="4"/>
        <v>0</v>
      </c>
      <c r="M11" s="45">
        <v>103.3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870</v>
      </c>
      <c r="D12" s="28">
        <f>'ИНП 2023'!X12</f>
        <v>0.8205744207354843</v>
      </c>
      <c r="E12" s="28">
        <f>'ИБР 2023'!Y12</f>
        <v>1.487294583089093</v>
      </c>
      <c r="F12" s="36">
        <f t="shared" si="2"/>
        <v>0.5517228597922821</v>
      </c>
      <c r="G12" s="17">
        <f t="shared" si="0"/>
        <v>356.576676146449</v>
      </c>
      <c r="H12" s="17">
        <f t="shared" si="1"/>
        <v>356.6</v>
      </c>
      <c r="I12" s="47">
        <f>2768.6+M12</f>
        <v>2819.5</v>
      </c>
      <c r="J12" s="40">
        <f t="shared" si="3"/>
        <v>3176.1</v>
      </c>
      <c r="K12" s="41">
        <v>3176.1</v>
      </c>
      <c r="L12" s="40">
        <f t="shared" si="4"/>
        <v>0</v>
      </c>
      <c r="M12" s="45">
        <v>50.9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1998</v>
      </c>
      <c r="D13" s="28">
        <f>'ИНП 2023'!X13</f>
        <v>0.964237714178598</v>
      </c>
      <c r="E13" s="28">
        <f>'ИБР 2023'!Y13</f>
        <v>1.014907527479856</v>
      </c>
      <c r="F13" s="36">
        <f t="shared" si="2"/>
        <v>0.9500744531602031</v>
      </c>
      <c r="G13" s="17">
        <f t="shared" si="0"/>
        <v>0</v>
      </c>
      <c r="H13" s="17">
        <f t="shared" si="1"/>
        <v>0</v>
      </c>
      <c r="I13" s="47">
        <f>6276.6+M13</f>
        <v>6393.400000000001</v>
      </c>
      <c r="J13" s="40">
        <f t="shared" si="3"/>
        <v>6393.400000000001</v>
      </c>
      <c r="K13" s="41">
        <v>6393.4</v>
      </c>
      <c r="L13" s="40">
        <f t="shared" si="4"/>
        <v>0</v>
      </c>
      <c r="M13" s="45">
        <v>116.8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727</v>
      </c>
      <c r="D14" s="28">
        <f>'ИНП 2023'!X14</f>
        <v>0.42592346647189216</v>
      </c>
      <c r="E14" s="28">
        <f>'ИБР 2023'!Y14</f>
        <v>1.9070402065575132</v>
      </c>
      <c r="F14" s="36">
        <f t="shared" si="2"/>
        <v>0.22334267783517076</v>
      </c>
      <c r="G14" s="17">
        <f t="shared" si="0"/>
        <v>1658.6610136055142</v>
      </c>
      <c r="H14" s="17">
        <f t="shared" si="1"/>
        <v>1658.6</v>
      </c>
      <c r="I14" s="47">
        <f>1149.3+M14</f>
        <v>1191.8</v>
      </c>
      <c r="J14" s="40">
        <f t="shared" si="3"/>
        <v>2850.3999999999996</v>
      </c>
      <c r="K14" s="41">
        <v>2850.4</v>
      </c>
      <c r="L14" s="40">
        <f t="shared" si="4"/>
        <v>0</v>
      </c>
      <c r="M14" s="45">
        <v>42.5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1949</v>
      </c>
      <c r="D15" s="28">
        <f>'ИНП 2023'!X15</f>
        <v>0.4573943036818958</v>
      </c>
      <c r="E15" s="28">
        <f>'ИБР 2023'!Y15</f>
        <v>1.0961088656234126</v>
      </c>
      <c r="F15" s="36">
        <f t="shared" si="2"/>
        <v>0.4172891197461053</v>
      </c>
      <c r="G15" s="17">
        <f t="shared" si="0"/>
        <v>1394.0116129527592</v>
      </c>
      <c r="H15" s="17">
        <f t="shared" si="1"/>
        <v>1394</v>
      </c>
      <c r="I15" s="47">
        <f>2953.5+M15</f>
        <v>3067.4</v>
      </c>
      <c r="J15" s="40">
        <f t="shared" si="3"/>
        <v>4461.4</v>
      </c>
      <c r="K15" s="41">
        <v>4461.4</v>
      </c>
      <c r="L15" s="40">
        <f t="shared" si="4"/>
        <v>0</v>
      </c>
      <c r="M15" s="45">
        <v>113.9</v>
      </c>
      <c r="N15" s="51"/>
      <c r="P15" s="54"/>
      <c r="Q15" s="44"/>
    </row>
    <row r="16" spans="1:17" ht="14.25">
      <c r="A16" s="12"/>
      <c r="B16" s="13" t="s">
        <v>11</v>
      </c>
      <c r="C16" s="13">
        <f>SUM(C6:C15)</f>
        <v>26635</v>
      </c>
      <c r="D16" s="37">
        <f>'ИНП 2023'!X16</f>
        <v>1</v>
      </c>
      <c r="E16" s="37">
        <f>'ИБР 2023'!Y16</f>
        <v>1</v>
      </c>
      <c r="F16" s="38">
        <f t="shared" si="2"/>
        <v>1</v>
      </c>
      <c r="G16" s="39">
        <f>SUM(G6:G15)</f>
        <v>3409.249302704722</v>
      </c>
      <c r="H16" s="39">
        <f t="shared" si="1"/>
        <v>3409.2</v>
      </c>
      <c r="I16" s="39">
        <f>SUM(I6:I15)</f>
        <v>76242.49999999999</v>
      </c>
      <c r="J16" s="39">
        <f t="shared" si="3"/>
        <v>79651.69999999998</v>
      </c>
      <c r="K16" s="39">
        <f>SUM(K6:K15)</f>
        <v>79651.69999999998</v>
      </c>
      <c r="L16" s="39">
        <f t="shared" si="4"/>
        <v>0</v>
      </c>
      <c r="M16" s="1">
        <f>SUM(M6:M15)</f>
        <v>1556.9</v>
      </c>
      <c r="N16" s="51"/>
      <c r="P16" s="54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74685.6</v>
      </c>
      <c r="I18" s="44"/>
      <c r="L18" s="44"/>
      <c r="N18" s="52"/>
      <c r="Q18" s="44"/>
    </row>
    <row r="19" spans="9:14" ht="14.25">
      <c r="I19" s="44"/>
      <c r="L19" s="44"/>
      <c r="N19" s="51"/>
    </row>
    <row r="20" spans="7:8" ht="11.25">
      <c r="G20" s="44"/>
      <c r="H20" s="44"/>
    </row>
    <row r="21" ht="11.25">
      <c r="G21" s="44"/>
    </row>
  </sheetData>
  <sheetProtection/>
  <mergeCells count="13">
    <mergeCell ref="L3:L4"/>
    <mergeCell ref="K3:K4"/>
    <mergeCell ref="A3:A4"/>
    <mergeCell ref="B3:B4"/>
    <mergeCell ref="D3:D4"/>
    <mergeCell ref="E3:E4"/>
    <mergeCell ref="F3:F4"/>
    <mergeCell ref="C1:H1"/>
    <mergeCell ref="C3:C4"/>
    <mergeCell ref="G3:G4"/>
    <mergeCell ref="H3:H4"/>
    <mergeCell ref="I3:I4"/>
    <mergeCell ref="J3:J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1" sqref="K31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7" t="s">
        <v>70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3" t="s">
        <v>0</v>
      </c>
      <c r="B3" s="63" t="s">
        <v>1</v>
      </c>
      <c r="C3" s="65" t="str">
        <f>'[2]МР_П'!C3</f>
        <v>Числен-ность постоян-ного населения, чел</v>
      </c>
      <c r="D3" s="20" t="s">
        <v>20</v>
      </c>
      <c r="E3" s="65" t="s">
        <v>21</v>
      </c>
      <c r="F3" s="62" t="s">
        <v>22</v>
      </c>
      <c r="G3" s="62"/>
      <c r="H3" s="21"/>
      <c r="I3" s="21"/>
      <c r="J3" s="21"/>
      <c r="K3" s="62" t="s">
        <v>23</v>
      </c>
      <c r="L3" s="62"/>
      <c r="M3" s="62"/>
      <c r="N3" s="62"/>
      <c r="O3" s="57" t="s">
        <v>24</v>
      </c>
      <c r="P3" s="58"/>
      <c r="Q3" s="58"/>
      <c r="R3" s="58"/>
      <c r="S3" s="59"/>
      <c r="T3" s="57" t="s">
        <v>25</v>
      </c>
      <c r="U3" s="58"/>
      <c r="V3" s="58"/>
      <c r="W3" s="58"/>
      <c r="X3" s="59"/>
      <c r="Y3" s="60" t="s">
        <v>13</v>
      </c>
    </row>
    <row r="4" spans="1:25" ht="56.25">
      <c r="A4" s="64"/>
      <c r="B4" s="64"/>
      <c r="C4" s="66"/>
      <c r="D4" s="20" t="s">
        <v>26</v>
      </c>
      <c r="E4" s="66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1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9104</v>
      </c>
      <c r="D6" s="8">
        <v>9104</v>
      </c>
      <c r="E6" s="8"/>
      <c r="F6" s="25">
        <v>2549.09</v>
      </c>
      <c r="G6" s="25">
        <v>36.42</v>
      </c>
      <c r="H6" s="26">
        <v>21467.3</v>
      </c>
      <c r="I6" s="26">
        <f aca="true" t="shared" si="0" ref="I6:I12">F6*H6</f>
        <v>54722079.757</v>
      </c>
      <c r="J6" s="27">
        <f>'ИБР 2024'!G6*'ИБР 2024'!H6/'ИБР 2024'!$H$16</f>
        <v>7.055099450455247</v>
      </c>
      <c r="K6" s="28">
        <f aca="true" t="shared" si="1" ref="K6:K15">IF(C6&lt;&gt;0,0.6+0.4*($C$16/COUNT($A$6:$A$15))/C6,0)</f>
        <v>0.7170254833040421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1.0024134753722054</v>
      </c>
      <c r="O6" s="17">
        <f aca="true" t="shared" si="3" ref="O6:O16">C6*K6</f>
        <v>6527.799999999999</v>
      </c>
      <c r="P6" s="17">
        <f>C6*L6*M6</f>
        <v>18208</v>
      </c>
      <c r="Q6" s="17">
        <f aca="true" t="shared" si="4" ref="Q6:Q16">C6*M6</f>
        <v>18208</v>
      </c>
      <c r="R6" s="17">
        <f aca="true" t="shared" si="5" ref="R6:R16">C6*K6*N6</f>
        <v>6543.554684534682</v>
      </c>
      <c r="S6" s="17">
        <f aca="true" t="shared" si="6" ref="S6:S16">C6*L6</f>
        <v>9104</v>
      </c>
      <c r="T6" s="28">
        <f aca="true" t="shared" si="7" ref="T6:T16">IF(C6&lt;&gt;0,(O6/$C6)/(O$16/$C$16),0)</f>
        <v>0.7170254833040421</v>
      </c>
      <c r="U6" s="28">
        <f aca="true" t="shared" si="8" ref="U6:U16">IF(C6&lt;&gt;0,(P6/$C6)/(P$16/$C$16),0)</f>
        <v>1.1741303355343455</v>
      </c>
      <c r="V6" s="28">
        <f aca="true" t="shared" si="9" ref="V6:V16">IF(C6&lt;&gt;0,(Q6/$C6)/(Q$16/$C$16),0)</f>
        <v>1.4190953167456979</v>
      </c>
      <c r="W6" s="28">
        <f aca="true" t="shared" si="10" ref="W6:W16">IF(C6&lt;&gt;0,(R6/$C6)/(R$16/$C$16),0)</f>
        <v>0.7187560066492401</v>
      </c>
      <c r="X6" s="28">
        <f aca="true" t="shared" si="11" ref="X6:X16">IF(C6&lt;&gt;0,(S6/$C6)/(S$16/$C$16),0)</f>
        <v>0.8273794731610338</v>
      </c>
      <c r="Y6" s="29">
        <f>IF(SUM($T$5:$X$5)=1,T6*$T$5+U6*$U$5+V6*$V$5+W6*$W$5+X6*$X$5,0)</f>
        <v>0.7606692225190881</v>
      </c>
    </row>
    <row r="7" spans="1:25" ht="11.25">
      <c r="A7" s="6">
        <v>2</v>
      </c>
      <c r="B7" s="7" t="s">
        <v>49</v>
      </c>
      <c r="C7" s="49">
        <v>5060</v>
      </c>
      <c r="D7" s="8">
        <v>1799</v>
      </c>
      <c r="E7" s="8">
        <v>1186</v>
      </c>
      <c r="F7" s="25">
        <v>2549.09</v>
      </c>
      <c r="G7" s="25">
        <v>36.42</v>
      </c>
      <c r="H7" s="26">
        <v>13753.5</v>
      </c>
      <c r="I7" s="26">
        <f t="shared" si="0"/>
        <v>35058909.315000005</v>
      </c>
      <c r="J7" s="27">
        <f>'ИБР 2024'!G7*'ИБР 2024'!H7/'ИБР 2024'!$H$16</f>
        <v>4.520005323996788</v>
      </c>
      <c r="K7" s="28">
        <f t="shared" si="1"/>
        <v>0.8105533596837945</v>
      </c>
      <c r="L7" s="28">
        <f aca="true" t="shared" si="12" ref="L7:L15">IF(C7&lt;&gt;0,1+E7/C7,0)</f>
        <v>1.234387351778656</v>
      </c>
      <c r="M7" s="28">
        <f aca="true" t="shared" si="13" ref="M7:M15">IF(C7&lt;&gt;0,1+D7/C7,0)</f>
        <v>1.3555335968379447</v>
      </c>
      <c r="N7" s="28">
        <f t="shared" si="2"/>
        <v>1.0024134753722054</v>
      </c>
      <c r="O7" s="17">
        <f t="shared" si="3"/>
        <v>4101.400000000001</v>
      </c>
      <c r="P7" s="17">
        <f aca="true" t="shared" si="14" ref="P7:P16">C7*L7*M7</f>
        <v>8466.662845849803</v>
      </c>
      <c r="Q7" s="17">
        <f t="shared" si="4"/>
        <v>6859</v>
      </c>
      <c r="R7" s="17">
        <f t="shared" si="5"/>
        <v>4111.298627891563</v>
      </c>
      <c r="S7" s="17">
        <f t="shared" si="6"/>
        <v>6246</v>
      </c>
      <c r="T7" s="28">
        <f t="shared" si="7"/>
        <v>0.8105533596837946</v>
      </c>
      <c r="U7" s="28">
        <f t="shared" si="8"/>
        <v>0.9823088624559098</v>
      </c>
      <c r="V7" s="28">
        <f t="shared" si="9"/>
        <v>0.9618156894820891</v>
      </c>
      <c r="W7" s="28">
        <f t="shared" si="10"/>
        <v>0.8125096102552497</v>
      </c>
      <c r="X7" s="28">
        <f t="shared" si="11"/>
        <v>1.0213067567912681</v>
      </c>
      <c r="Y7" s="29">
        <f aca="true" t="shared" si="15" ref="Y7:Y16">IF(SUM($T$5:$X$5)=1,T7*$T$5+U7*$U$5+V7*$V$5+W7*$W$5+X7*$X$5,0)</f>
        <v>0.8934318722557186</v>
      </c>
    </row>
    <row r="8" spans="1:25" ht="11.25">
      <c r="A8" s="6">
        <v>3</v>
      </c>
      <c r="B8" s="7" t="s">
        <v>50</v>
      </c>
      <c r="C8" s="49">
        <v>2481</v>
      </c>
      <c r="D8" s="8"/>
      <c r="E8" s="8">
        <v>67</v>
      </c>
      <c r="F8" s="25">
        <v>2549.09</v>
      </c>
      <c r="G8" s="25">
        <v>36.42</v>
      </c>
      <c r="H8" s="26">
        <v>16300</v>
      </c>
      <c r="I8" s="26">
        <f t="shared" si="0"/>
        <v>41550167</v>
      </c>
      <c r="J8" s="27">
        <f>'ИБР 2024'!G8*'ИБР 2024'!H8/'ИБР 2024'!$H$16</f>
        <v>5.3568972829568935</v>
      </c>
      <c r="K8" s="28">
        <f t="shared" si="1"/>
        <v>1.0294236195082629</v>
      </c>
      <c r="L8" s="28">
        <f t="shared" si="12"/>
        <v>1.0270052398226521</v>
      </c>
      <c r="M8" s="28">
        <f t="shared" si="13"/>
        <v>1</v>
      </c>
      <c r="N8" s="28">
        <f t="shared" si="2"/>
        <v>1.0024134753722054</v>
      </c>
      <c r="O8" s="17">
        <f t="shared" si="3"/>
        <v>2554</v>
      </c>
      <c r="P8" s="17">
        <f t="shared" si="14"/>
        <v>2548</v>
      </c>
      <c r="Q8" s="17">
        <f t="shared" si="4"/>
        <v>2481</v>
      </c>
      <c r="R8" s="17">
        <f t="shared" si="5"/>
        <v>2560.1640161006126</v>
      </c>
      <c r="S8" s="17">
        <f t="shared" si="6"/>
        <v>2548</v>
      </c>
      <c r="T8" s="28">
        <f t="shared" si="7"/>
        <v>1.0294236195082629</v>
      </c>
      <c r="U8" s="28">
        <f t="shared" si="8"/>
        <v>0.6029190034142508</v>
      </c>
      <c r="V8" s="28">
        <f t="shared" si="9"/>
        <v>0.7095476583728489</v>
      </c>
      <c r="W8" s="28">
        <f t="shared" si="10"/>
        <v>1.0319081080615125</v>
      </c>
      <c r="X8" s="28">
        <f t="shared" si="11"/>
        <v>0.849723054258087</v>
      </c>
      <c r="Y8" s="29">
        <f t="shared" si="15"/>
        <v>0.9602099700543316</v>
      </c>
    </row>
    <row r="9" spans="1:25" ht="11.25">
      <c r="A9" s="6">
        <v>4</v>
      </c>
      <c r="B9" s="7" t="s">
        <v>51</v>
      </c>
      <c r="C9" s="49">
        <v>722</v>
      </c>
      <c r="D9" s="8"/>
      <c r="E9" s="8">
        <v>722</v>
      </c>
      <c r="F9" s="25">
        <v>2549.09</v>
      </c>
      <c r="G9" s="25">
        <v>36.42</v>
      </c>
      <c r="H9" s="26"/>
      <c r="I9" s="26">
        <f t="shared" si="0"/>
        <v>0</v>
      </c>
      <c r="J9" s="27">
        <f>'ИБР 2024'!G9*'ИБР 2024'!H9/'ИБР 2024'!$H$16</f>
        <v>0</v>
      </c>
      <c r="K9" s="28">
        <f t="shared" si="1"/>
        <v>2.075623268698061</v>
      </c>
      <c r="L9" s="28">
        <f t="shared" si="12"/>
        <v>2</v>
      </c>
      <c r="M9" s="28">
        <f t="shared" si="13"/>
        <v>1</v>
      </c>
      <c r="N9" s="28">
        <f t="shared" si="2"/>
        <v>1.0024134753722054</v>
      </c>
      <c r="O9" s="17">
        <f t="shared" si="3"/>
        <v>1498.6</v>
      </c>
      <c r="P9" s="17">
        <f t="shared" si="14"/>
        <v>1444</v>
      </c>
      <c r="Q9" s="17">
        <f t="shared" si="4"/>
        <v>722</v>
      </c>
      <c r="R9" s="17">
        <f t="shared" si="5"/>
        <v>1502.2168341927868</v>
      </c>
      <c r="S9" s="17">
        <f t="shared" si="6"/>
        <v>1444</v>
      </c>
      <c r="T9" s="28">
        <f t="shared" si="7"/>
        <v>2.075623268698061</v>
      </c>
      <c r="U9" s="28">
        <f t="shared" si="8"/>
        <v>1.1741303355343455</v>
      </c>
      <c r="V9" s="28">
        <f t="shared" si="9"/>
        <v>0.7095476583728489</v>
      </c>
      <c r="W9" s="28">
        <f t="shared" si="10"/>
        <v>2.08063273433904</v>
      </c>
      <c r="X9" s="28">
        <f t="shared" si="11"/>
        <v>1.6547589463220675</v>
      </c>
      <c r="Y9" s="29">
        <f t="shared" si="15"/>
        <v>1.9132394959457661</v>
      </c>
    </row>
    <row r="10" spans="1:25" ht="11.25">
      <c r="A10" s="6">
        <v>5</v>
      </c>
      <c r="B10" s="7" t="s">
        <v>52</v>
      </c>
      <c r="C10" s="49">
        <v>1956</v>
      </c>
      <c r="D10" s="8"/>
      <c r="E10" s="8">
        <v>1191</v>
      </c>
      <c r="F10" s="25">
        <v>2549.09</v>
      </c>
      <c r="G10" s="25">
        <v>36.42</v>
      </c>
      <c r="H10" s="26">
        <v>20636.3</v>
      </c>
      <c r="I10" s="26">
        <f t="shared" si="0"/>
        <v>52603785.967</v>
      </c>
      <c r="J10" s="27">
        <f>'ИБР 2024'!G10*'ИБР 2024'!H10/'ИБР 2024'!$H$16</f>
        <v>6.781996282225972</v>
      </c>
      <c r="K10" s="28">
        <f t="shared" si="1"/>
        <v>1.144683026584867</v>
      </c>
      <c r="L10" s="28">
        <f t="shared" si="12"/>
        <v>1.6088957055214723</v>
      </c>
      <c r="M10" s="28">
        <f t="shared" si="13"/>
        <v>1</v>
      </c>
      <c r="N10" s="28">
        <f t="shared" si="2"/>
        <v>1.0024134753722054</v>
      </c>
      <c r="O10" s="17">
        <f t="shared" si="3"/>
        <v>2239</v>
      </c>
      <c r="P10" s="17">
        <f t="shared" si="14"/>
        <v>3147</v>
      </c>
      <c r="Q10" s="17">
        <f t="shared" si="4"/>
        <v>1956</v>
      </c>
      <c r="R10" s="17">
        <f t="shared" si="5"/>
        <v>2244.403771358368</v>
      </c>
      <c r="S10" s="17">
        <f t="shared" si="6"/>
        <v>3147</v>
      </c>
      <c r="T10" s="28">
        <f t="shared" si="7"/>
        <v>1.144683026584867</v>
      </c>
      <c r="U10" s="28">
        <f t="shared" si="8"/>
        <v>0.944526627281847</v>
      </c>
      <c r="V10" s="28">
        <f t="shared" si="9"/>
        <v>0.7095476583728489</v>
      </c>
      <c r="W10" s="28">
        <f t="shared" si="10"/>
        <v>1.1474456908785113</v>
      </c>
      <c r="X10" s="28">
        <f t="shared" si="11"/>
        <v>1.3311672812054054</v>
      </c>
      <c r="Y10" s="29">
        <f t="shared" si="15"/>
        <v>1.2183788183896525</v>
      </c>
    </row>
    <row r="11" spans="1:25" ht="11.25">
      <c r="A11" s="6">
        <v>6</v>
      </c>
      <c r="B11" s="7" t="s">
        <v>53</v>
      </c>
      <c r="C11" s="49">
        <v>1768</v>
      </c>
      <c r="D11" s="8"/>
      <c r="E11" s="8">
        <v>1088</v>
      </c>
      <c r="F11" s="25">
        <v>2549.09</v>
      </c>
      <c r="G11" s="25">
        <v>36.42</v>
      </c>
      <c r="H11" s="26">
        <v>5640</v>
      </c>
      <c r="I11" s="26">
        <f t="shared" si="0"/>
        <v>14376867.600000001</v>
      </c>
      <c r="J11" s="27">
        <f>'ИБР 2024'!G11*'ИБР 2024'!H11/'ИБР 2024'!$H$16</f>
        <v>1.8535521887041033</v>
      </c>
      <c r="K11" s="28">
        <f t="shared" si="1"/>
        <v>1.2026018099547513</v>
      </c>
      <c r="L11" s="28">
        <f t="shared" si="12"/>
        <v>1.6153846153846154</v>
      </c>
      <c r="M11" s="28">
        <f t="shared" si="13"/>
        <v>1</v>
      </c>
      <c r="N11" s="28">
        <f t="shared" si="2"/>
        <v>1.0024134753722054</v>
      </c>
      <c r="O11" s="17">
        <f t="shared" si="3"/>
        <v>2126.2000000000003</v>
      </c>
      <c r="P11" s="17">
        <f t="shared" si="14"/>
        <v>2856</v>
      </c>
      <c r="Q11" s="17">
        <f t="shared" si="4"/>
        <v>1768</v>
      </c>
      <c r="R11" s="17">
        <f t="shared" si="5"/>
        <v>2131.3315313363833</v>
      </c>
      <c r="S11" s="17">
        <f t="shared" si="6"/>
        <v>2856</v>
      </c>
      <c r="T11" s="28">
        <f t="shared" si="7"/>
        <v>1.2026018099547513</v>
      </c>
      <c r="U11" s="28">
        <f t="shared" si="8"/>
        <v>0.9483360402392791</v>
      </c>
      <c r="V11" s="28">
        <f t="shared" si="9"/>
        <v>0.7095476583728489</v>
      </c>
      <c r="W11" s="28">
        <f t="shared" si="10"/>
        <v>1.2055042598056467</v>
      </c>
      <c r="X11" s="28">
        <f t="shared" si="11"/>
        <v>1.3365360720293622</v>
      </c>
      <c r="Y11" s="29">
        <f t="shared" si="15"/>
        <v>1.2558520296116629</v>
      </c>
    </row>
    <row r="12" spans="1:25" ht="11.25">
      <c r="A12" s="6">
        <v>7</v>
      </c>
      <c r="B12" s="7" t="s">
        <v>54</v>
      </c>
      <c r="C12" s="49">
        <v>870</v>
      </c>
      <c r="D12" s="8"/>
      <c r="E12" s="8">
        <v>135</v>
      </c>
      <c r="F12" s="25">
        <v>2549.09</v>
      </c>
      <c r="G12" s="25">
        <v>36.42</v>
      </c>
      <c r="H12" s="26">
        <v>6002.5</v>
      </c>
      <c r="I12" s="26">
        <f t="shared" si="0"/>
        <v>15300912.725000001</v>
      </c>
      <c r="J12" s="27">
        <f>'ИБР 2024'!G12*'ИБР 2024'!H12/'ИБР 2024'!$H$16</f>
        <v>1.9726856405490034</v>
      </c>
      <c r="K12" s="28">
        <f t="shared" si="1"/>
        <v>1.8245977011494254</v>
      </c>
      <c r="L12" s="28">
        <f t="shared" si="12"/>
        <v>1.1551724137931034</v>
      </c>
      <c r="M12" s="28">
        <f t="shared" si="13"/>
        <v>1</v>
      </c>
      <c r="N12" s="28">
        <f t="shared" si="2"/>
        <v>1.0024134753722054</v>
      </c>
      <c r="O12" s="17">
        <f t="shared" si="3"/>
        <v>1587.4</v>
      </c>
      <c r="P12" s="17">
        <f t="shared" si="14"/>
        <v>1005</v>
      </c>
      <c r="Q12" s="17">
        <f t="shared" si="4"/>
        <v>870</v>
      </c>
      <c r="R12" s="17">
        <f t="shared" si="5"/>
        <v>1591.231150805839</v>
      </c>
      <c r="S12" s="17">
        <f t="shared" si="6"/>
        <v>1005</v>
      </c>
      <c r="T12" s="28">
        <f t="shared" si="7"/>
        <v>1.8245977011494254</v>
      </c>
      <c r="U12" s="28">
        <f t="shared" si="8"/>
        <v>0.6781614869034582</v>
      </c>
      <c r="V12" s="28">
        <f t="shared" si="9"/>
        <v>0.7095476583728489</v>
      </c>
      <c r="W12" s="28">
        <f t="shared" si="10"/>
        <v>1.8290013227653321</v>
      </c>
      <c r="X12" s="28">
        <f t="shared" si="11"/>
        <v>0.9557659431342976</v>
      </c>
      <c r="Y12" s="29">
        <f t="shared" si="15"/>
        <v>1.487294583089093</v>
      </c>
    </row>
    <row r="13" spans="1:25" ht="11.25">
      <c r="A13" s="6">
        <v>8</v>
      </c>
      <c r="B13" s="7" t="s">
        <v>55</v>
      </c>
      <c r="C13" s="49">
        <v>1998</v>
      </c>
      <c r="D13" s="8"/>
      <c r="E13" s="8"/>
      <c r="F13" s="25">
        <v>2549.09</v>
      </c>
      <c r="G13" s="25">
        <v>36.42</v>
      </c>
      <c r="H13" s="26"/>
      <c r="I13" s="26"/>
      <c r="J13" s="27"/>
      <c r="K13" s="28">
        <f t="shared" si="1"/>
        <v>1.1332332332332333</v>
      </c>
      <c r="L13" s="28">
        <f t="shared" si="12"/>
        <v>1</v>
      </c>
      <c r="M13" s="28">
        <f t="shared" si="13"/>
        <v>1</v>
      </c>
      <c r="N13" s="28">
        <f t="shared" si="2"/>
        <v>1.0024134753722054</v>
      </c>
      <c r="O13" s="17">
        <f t="shared" si="3"/>
        <v>2264.2000000000003</v>
      </c>
      <c r="P13" s="17">
        <f t="shared" si="14"/>
        <v>1998</v>
      </c>
      <c r="Q13" s="17">
        <f t="shared" si="4"/>
        <v>1998</v>
      </c>
      <c r="R13" s="17">
        <f t="shared" si="5"/>
        <v>2269.6645909377476</v>
      </c>
      <c r="S13" s="17">
        <f t="shared" si="6"/>
        <v>1998</v>
      </c>
      <c r="T13" s="28">
        <f t="shared" si="7"/>
        <v>1.1332332332332333</v>
      </c>
      <c r="U13" s="28">
        <f t="shared" si="8"/>
        <v>0.5870651677671728</v>
      </c>
      <c r="V13" s="28">
        <f t="shared" si="9"/>
        <v>0.7095476583728489</v>
      </c>
      <c r="W13" s="28">
        <f t="shared" si="10"/>
        <v>1.1359682637326063</v>
      </c>
      <c r="X13" s="28">
        <f t="shared" si="11"/>
        <v>0.8273794731610338</v>
      </c>
      <c r="Y13" s="29">
        <f t="shared" si="15"/>
        <v>1.014907527479856</v>
      </c>
    </row>
    <row r="14" spans="1:25" ht="11.25">
      <c r="A14" s="6">
        <v>9</v>
      </c>
      <c r="B14" s="7" t="s">
        <v>56</v>
      </c>
      <c r="C14" s="49">
        <v>727</v>
      </c>
      <c r="D14" s="8"/>
      <c r="E14" s="8">
        <v>727</v>
      </c>
      <c r="F14" s="25">
        <v>2549.09</v>
      </c>
      <c r="G14" s="25">
        <v>36.42</v>
      </c>
      <c r="H14" s="26">
        <v>14166.2</v>
      </c>
      <c r="I14" s="26">
        <f>F14*H14</f>
        <v>36110918.758</v>
      </c>
      <c r="J14" s="27">
        <f>'ИБР 2024'!G14*'ИБР 2024'!H14/'ИБР 2024'!$H$16</f>
        <v>4.655636704897176</v>
      </c>
      <c r="K14" s="28">
        <f t="shared" si="1"/>
        <v>2.065474552957359</v>
      </c>
      <c r="L14" s="28">
        <f t="shared" si="12"/>
        <v>2</v>
      </c>
      <c r="M14" s="28">
        <f t="shared" si="13"/>
        <v>1</v>
      </c>
      <c r="N14" s="28">
        <f t="shared" si="2"/>
        <v>1.0024134753722054</v>
      </c>
      <c r="O14" s="17">
        <f t="shared" si="3"/>
        <v>1501.6000000000001</v>
      </c>
      <c r="P14" s="17">
        <f t="shared" si="14"/>
        <v>1454</v>
      </c>
      <c r="Q14" s="17">
        <f t="shared" si="4"/>
        <v>727</v>
      </c>
      <c r="R14" s="17">
        <f t="shared" si="5"/>
        <v>1505.2240746189038</v>
      </c>
      <c r="S14" s="17">
        <f t="shared" si="6"/>
        <v>1454</v>
      </c>
      <c r="T14" s="28">
        <f t="shared" si="7"/>
        <v>2.065474552957359</v>
      </c>
      <c r="U14" s="28">
        <f t="shared" si="8"/>
        <v>1.1741303355343455</v>
      </c>
      <c r="V14" s="28">
        <f t="shared" si="9"/>
        <v>0.7095476583728489</v>
      </c>
      <c r="W14" s="28">
        <f t="shared" si="10"/>
        <v>2.070459524922839</v>
      </c>
      <c r="X14" s="28">
        <f t="shared" si="11"/>
        <v>1.6547589463220675</v>
      </c>
      <c r="Y14" s="29">
        <f t="shared" si="15"/>
        <v>1.9070402065575132</v>
      </c>
    </row>
    <row r="15" spans="1:25" ht="11.25">
      <c r="A15" s="6">
        <v>10</v>
      </c>
      <c r="B15" s="7" t="s">
        <v>57</v>
      </c>
      <c r="C15" s="49">
        <v>1949</v>
      </c>
      <c r="D15" s="8"/>
      <c r="E15" s="8">
        <v>441</v>
      </c>
      <c r="F15" s="25">
        <v>2549.09</v>
      </c>
      <c r="G15" s="25">
        <v>36.42</v>
      </c>
      <c r="H15" s="26">
        <v>12853.2</v>
      </c>
      <c r="I15" s="26">
        <f>F15*H15</f>
        <v>32763963.588000003</v>
      </c>
      <c r="J15" s="27">
        <f>'ИБР 2024'!G15*'ИБР 2024'!H15/'ИБР 2024'!$H$16</f>
        <v>4.224127126214819</v>
      </c>
      <c r="K15" s="28">
        <f t="shared" si="1"/>
        <v>1.1466393022062595</v>
      </c>
      <c r="L15" s="28">
        <f t="shared" si="12"/>
        <v>1.2262698819907645</v>
      </c>
      <c r="M15" s="28">
        <f t="shared" si="13"/>
        <v>1</v>
      </c>
      <c r="N15" s="28">
        <f t="shared" si="2"/>
        <v>1.0024134753722054</v>
      </c>
      <c r="O15" s="17">
        <f t="shared" si="3"/>
        <v>2234.7999999999997</v>
      </c>
      <c r="P15" s="17">
        <f t="shared" si="14"/>
        <v>2390</v>
      </c>
      <c r="Q15" s="17">
        <f t="shared" si="4"/>
        <v>1949</v>
      </c>
      <c r="R15" s="17">
        <f t="shared" si="5"/>
        <v>2240.1936347618043</v>
      </c>
      <c r="S15" s="17">
        <f t="shared" si="6"/>
        <v>2390</v>
      </c>
      <c r="T15" s="28">
        <f t="shared" si="7"/>
        <v>1.1466393022062595</v>
      </c>
      <c r="U15" s="28">
        <f t="shared" si="8"/>
        <v>0.7199003339987393</v>
      </c>
      <c r="V15" s="28">
        <f t="shared" si="9"/>
        <v>0.7095476583728489</v>
      </c>
      <c r="W15" s="28">
        <f t="shared" si="10"/>
        <v>1.149406687922937</v>
      </c>
      <c r="X15" s="28">
        <f t="shared" si="11"/>
        <v>1.0145905289147616</v>
      </c>
      <c r="Y15" s="29">
        <f t="shared" si="15"/>
        <v>1.0961088656234126</v>
      </c>
    </row>
    <row r="16" spans="1:25" ht="12.75">
      <c r="A16" s="12"/>
      <c r="B16" s="13" t="s">
        <v>11</v>
      </c>
      <c r="C16" s="13">
        <f>SUM(C6:C15)</f>
        <v>26635</v>
      </c>
      <c r="D16" s="30">
        <f>SUM(D6:D15)</f>
        <v>10903</v>
      </c>
      <c r="E16" s="30">
        <f>SUM(E6:E15)</f>
        <v>5557</v>
      </c>
      <c r="F16" s="25">
        <v>2474.44</v>
      </c>
      <c r="G16" s="25">
        <v>36.42</v>
      </c>
      <c r="H16" s="31">
        <f>SUM(H6:H15)</f>
        <v>110819</v>
      </c>
      <c r="I16" s="31">
        <f>SUM(I6:I15)</f>
        <v>282487604.71</v>
      </c>
      <c r="J16" s="32">
        <f>SUM(J6:J15)</f>
        <v>36.42</v>
      </c>
      <c r="K16" s="29">
        <f>IF(C16&lt;&gt;0,0.6+0.4*($C$16/COUNT($A$6:$A$15))/(C16/COUNT($A$6:$A$15)),0)</f>
        <v>1</v>
      </c>
      <c r="L16" s="29">
        <f>IF(C16&lt;&gt;0,1+E16/C16,0)</f>
        <v>1.208635254364558</v>
      </c>
      <c r="M16" s="29">
        <f>IF(C16&lt;&gt;0,1+D16/C16,0)</f>
        <v>1.409348601464239</v>
      </c>
      <c r="N16" s="29">
        <f t="shared" si="2"/>
        <v>1</v>
      </c>
      <c r="O16" s="33">
        <f t="shared" si="3"/>
        <v>26635</v>
      </c>
      <c r="P16" s="33">
        <f t="shared" si="14"/>
        <v>45369.750178336784</v>
      </c>
      <c r="Q16" s="33">
        <f t="shared" si="4"/>
        <v>37538</v>
      </c>
      <c r="R16" s="33">
        <f t="shared" si="5"/>
        <v>26635</v>
      </c>
      <c r="S16" s="33">
        <f t="shared" si="6"/>
        <v>32192.000000000004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0" sqref="U20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7" t="s">
        <v>68</v>
      </c>
      <c r="D1" s="67"/>
      <c r="E1" s="67"/>
      <c r="F1" s="67"/>
      <c r="G1" s="67"/>
      <c r="H1" s="67"/>
      <c r="I1" s="67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70" t="s">
        <v>0</v>
      </c>
      <c r="B3" s="70" t="s">
        <v>1</v>
      </c>
      <c r="C3" s="69" t="s">
        <v>2</v>
      </c>
      <c r="D3" s="70" t="s">
        <v>3</v>
      </c>
      <c r="E3" s="70"/>
      <c r="F3" s="70"/>
      <c r="G3" s="70"/>
      <c r="H3" s="70" t="s">
        <v>4</v>
      </c>
      <c r="I3" s="70"/>
      <c r="J3" s="70"/>
      <c r="K3" s="70"/>
      <c r="L3" s="70" t="s">
        <v>5</v>
      </c>
      <c r="M3" s="70"/>
      <c r="N3" s="70"/>
      <c r="O3" s="70"/>
      <c r="P3" s="70" t="s">
        <v>6</v>
      </c>
      <c r="Q3" s="70"/>
      <c r="R3" s="70"/>
      <c r="S3" s="70"/>
      <c r="T3" s="68" t="s">
        <v>7</v>
      </c>
      <c r="U3" s="68" t="s">
        <v>44</v>
      </c>
      <c r="V3" s="68" t="s">
        <v>45</v>
      </c>
      <c r="W3" s="68" t="s">
        <v>46</v>
      </c>
      <c r="X3" s="68" t="s">
        <v>47</v>
      </c>
    </row>
    <row r="4" spans="1:24" ht="90" customHeight="1">
      <c r="A4" s="70"/>
      <c r="B4" s="70"/>
      <c r="C4" s="69"/>
      <c r="D4" s="3" t="s">
        <v>8</v>
      </c>
      <c r="E4" s="46" t="s">
        <v>61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62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62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63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0,030008, контингент</v>
      </c>
      <c r="T4" s="68"/>
      <c r="U4" s="68"/>
      <c r="V4" s="68"/>
      <c r="W4" s="68"/>
      <c r="X4" s="68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9104</v>
      </c>
      <c r="D6" s="9">
        <v>929922.2</v>
      </c>
      <c r="E6" s="9"/>
      <c r="F6" s="10" t="s">
        <v>10</v>
      </c>
      <c r="G6" s="11">
        <f aca="true" t="shared" si="0" ref="G6:G15">D6*$F$16*0.1</f>
        <v>12088.988692651514</v>
      </c>
      <c r="H6" s="9">
        <v>839333.3</v>
      </c>
      <c r="I6" s="9">
        <v>2518</v>
      </c>
      <c r="J6" s="10" t="s">
        <v>10</v>
      </c>
      <c r="K6" s="11">
        <f aca="true" t="shared" si="1" ref="K6:K15">H6*$J$16</f>
        <v>2517.9999000000003</v>
      </c>
      <c r="L6" s="9">
        <v>1373666.7</v>
      </c>
      <c r="M6" s="9">
        <v>4121</v>
      </c>
      <c r="N6" s="10" t="s">
        <v>10</v>
      </c>
      <c r="O6" s="11">
        <f aca="true" t="shared" si="2" ref="O6:O15">L6*$N$16</f>
        <v>4121.0001</v>
      </c>
      <c r="P6" s="9">
        <v>15793.3</v>
      </c>
      <c r="Q6" s="9">
        <v>473.8</v>
      </c>
      <c r="R6" s="10" t="s">
        <v>10</v>
      </c>
      <c r="S6" s="11">
        <f aca="true" t="shared" si="3" ref="S6:S15">P6*$R$16</f>
        <v>473.9197320095091</v>
      </c>
      <c r="T6" s="11">
        <f aca="true" t="shared" si="4" ref="T6:T16">S6+O6+K6+G6</f>
        <v>19201.908424661022</v>
      </c>
      <c r="U6" s="45">
        <v>552.7</v>
      </c>
      <c r="V6" s="11">
        <f>T6+U6</f>
        <v>19754.608424661023</v>
      </c>
      <c r="W6" s="11">
        <f>IF(C6&lt;&gt;0,V6/C6,0)</f>
        <v>2.1698822962061755</v>
      </c>
      <c r="X6" s="36">
        <f aca="true" t="shared" si="5" ref="X6:X16">IF($W$16&lt;&gt;0,W6/$W$16,0)</f>
        <v>0.9751533761885576</v>
      </c>
    </row>
    <row r="7" spans="1:24" ht="12.75">
      <c r="A7" s="6">
        <v>2</v>
      </c>
      <c r="B7" s="7" t="s">
        <v>49</v>
      </c>
      <c r="C7" s="49">
        <v>5060</v>
      </c>
      <c r="D7" s="9">
        <v>296435</v>
      </c>
      <c r="E7" s="9"/>
      <c r="F7" s="10" t="s">
        <v>10</v>
      </c>
      <c r="G7" s="11">
        <f t="shared" si="0"/>
        <v>3853.655029534892</v>
      </c>
      <c r="H7" s="9">
        <v>163000</v>
      </c>
      <c r="I7" s="9">
        <v>489</v>
      </c>
      <c r="J7" s="10" t="s">
        <v>10</v>
      </c>
      <c r="K7" s="11">
        <f t="shared" si="1"/>
        <v>489</v>
      </c>
      <c r="L7" s="9">
        <v>882333.3</v>
      </c>
      <c r="M7" s="9">
        <v>2647</v>
      </c>
      <c r="N7" s="10" t="s">
        <v>10</v>
      </c>
      <c r="O7" s="11">
        <f t="shared" si="2"/>
        <v>2646.9999000000003</v>
      </c>
      <c r="P7" s="9">
        <v>50000</v>
      </c>
      <c r="Q7" s="9">
        <v>1500</v>
      </c>
      <c r="R7" s="10" t="s">
        <v>10</v>
      </c>
      <c r="S7" s="11">
        <f t="shared" si="3"/>
        <v>1500.382225404156</v>
      </c>
      <c r="T7" s="11">
        <f t="shared" si="4"/>
        <v>8490.037154939047</v>
      </c>
      <c r="U7" s="45">
        <v>307.2</v>
      </c>
      <c r="V7" s="11">
        <f aca="true" t="shared" si="6" ref="V7:V15">T7+U7</f>
        <v>8797.237154939048</v>
      </c>
      <c r="W7" s="11">
        <f aca="true" t="shared" si="7" ref="W7:W16">IF(C7&lt;&gt;0,V7/C7,0)</f>
        <v>1.738584417972144</v>
      </c>
      <c r="X7" s="36">
        <f t="shared" si="5"/>
        <v>0.7813264654670762</v>
      </c>
    </row>
    <row r="8" spans="1:24" ht="12.75">
      <c r="A8" s="6">
        <v>3</v>
      </c>
      <c r="B8" s="7" t="s">
        <v>50</v>
      </c>
      <c r="C8" s="49">
        <v>2481</v>
      </c>
      <c r="D8" s="9">
        <v>210300</v>
      </c>
      <c r="E8" s="9"/>
      <c r="F8" s="10" t="s">
        <v>10</v>
      </c>
      <c r="G8" s="11">
        <f t="shared" si="0"/>
        <v>2733.90002095295</v>
      </c>
      <c r="H8" s="9">
        <v>137666.7</v>
      </c>
      <c r="I8" s="9">
        <v>413</v>
      </c>
      <c r="J8" s="10" t="s">
        <v>10</v>
      </c>
      <c r="K8" s="11">
        <f t="shared" si="1"/>
        <v>413.00010000000003</v>
      </c>
      <c r="L8" s="9">
        <v>922333.3</v>
      </c>
      <c r="M8" s="9">
        <v>2767</v>
      </c>
      <c r="N8" s="10" t="s">
        <v>10</v>
      </c>
      <c r="O8" s="11">
        <f t="shared" si="2"/>
        <v>2766.9999000000003</v>
      </c>
      <c r="P8" s="9">
        <v>28296.7</v>
      </c>
      <c r="Q8" s="9">
        <v>848.9</v>
      </c>
      <c r="R8" s="10" t="s">
        <v>10</v>
      </c>
      <c r="S8" s="11">
        <f t="shared" si="3"/>
        <v>849.1173143518756</v>
      </c>
      <c r="T8" s="11">
        <f t="shared" si="4"/>
        <v>6763.017335304827</v>
      </c>
      <c r="U8" s="45">
        <v>150.6</v>
      </c>
      <c r="V8" s="11">
        <f t="shared" si="6"/>
        <v>6913.617335304827</v>
      </c>
      <c r="W8" s="11">
        <f t="shared" si="7"/>
        <v>2.7866252862977943</v>
      </c>
      <c r="X8" s="36">
        <f t="shared" si="5"/>
        <v>1.252320027153907</v>
      </c>
    </row>
    <row r="9" spans="1:24" ht="12.75">
      <c r="A9" s="6">
        <v>4</v>
      </c>
      <c r="B9" s="7" t="s">
        <v>51</v>
      </c>
      <c r="C9" s="49">
        <v>722</v>
      </c>
      <c r="D9" s="9">
        <v>54413.7</v>
      </c>
      <c r="E9" s="9"/>
      <c r="F9" s="10" t="s">
        <v>10</v>
      </c>
      <c r="G9" s="11">
        <f t="shared" si="0"/>
        <v>707.3781054214338</v>
      </c>
      <c r="H9" s="9">
        <v>21666.7</v>
      </c>
      <c r="I9" s="9">
        <v>65</v>
      </c>
      <c r="J9" s="10" t="s">
        <v>10</v>
      </c>
      <c r="K9" s="11">
        <f t="shared" si="1"/>
        <v>65.0001</v>
      </c>
      <c r="L9" s="9">
        <v>264666.7</v>
      </c>
      <c r="M9" s="9">
        <v>794</v>
      </c>
      <c r="N9" s="10" t="s">
        <v>10</v>
      </c>
      <c r="O9" s="11">
        <f t="shared" si="2"/>
        <v>794.0001000000001</v>
      </c>
      <c r="P9" s="9">
        <v>41000</v>
      </c>
      <c r="Q9" s="9">
        <v>1230</v>
      </c>
      <c r="R9" s="10" t="s">
        <v>10</v>
      </c>
      <c r="S9" s="11">
        <f t="shared" si="3"/>
        <v>1230.313424831408</v>
      </c>
      <c r="T9" s="11">
        <f t="shared" si="4"/>
        <v>2796.691730252842</v>
      </c>
      <c r="U9" s="45">
        <v>43.8</v>
      </c>
      <c r="V9" s="11">
        <f t="shared" si="6"/>
        <v>2840.491730252842</v>
      </c>
      <c r="W9" s="11">
        <f t="shared" si="7"/>
        <v>3.9341990723723574</v>
      </c>
      <c r="X9" s="36">
        <f t="shared" si="5"/>
        <v>1.7680440615278739</v>
      </c>
    </row>
    <row r="10" spans="1:24" ht="12.75">
      <c r="A10" s="6">
        <v>5</v>
      </c>
      <c r="B10" s="7" t="s">
        <v>52</v>
      </c>
      <c r="C10" s="49">
        <v>1956</v>
      </c>
      <c r="D10" s="9">
        <v>72989</v>
      </c>
      <c r="E10" s="9"/>
      <c r="F10" s="10" t="s">
        <v>10</v>
      </c>
      <c r="G10" s="11">
        <f t="shared" si="0"/>
        <v>948.8570072721583</v>
      </c>
      <c r="H10" s="9">
        <v>68000</v>
      </c>
      <c r="I10" s="9">
        <v>204</v>
      </c>
      <c r="J10" s="10" t="s">
        <v>10</v>
      </c>
      <c r="K10" s="11">
        <f t="shared" si="1"/>
        <v>204</v>
      </c>
      <c r="L10" s="9">
        <v>713666.7</v>
      </c>
      <c r="M10" s="9">
        <v>2141</v>
      </c>
      <c r="N10" s="10" t="s">
        <v>10</v>
      </c>
      <c r="O10" s="11">
        <f t="shared" si="2"/>
        <v>2141.0000999999997</v>
      </c>
      <c r="P10" s="9">
        <v>4300</v>
      </c>
      <c r="Q10" s="9">
        <v>130</v>
      </c>
      <c r="R10" s="10" t="s">
        <v>10</v>
      </c>
      <c r="S10" s="11">
        <f t="shared" si="3"/>
        <v>129.0328713847574</v>
      </c>
      <c r="T10" s="11">
        <f t="shared" si="4"/>
        <v>3422.8899786569154</v>
      </c>
      <c r="U10" s="45">
        <v>118.7</v>
      </c>
      <c r="V10" s="11">
        <f t="shared" si="6"/>
        <v>3541.5899786569153</v>
      </c>
      <c r="W10" s="11">
        <f t="shared" si="7"/>
        <v>1.8106288234442307</v>
      </c>
      <c r="X10" s="36">
        <f t="shared" si="5"/>
        <v>0.8137034959421557</v>
      </c>
    </row>
    <row r="11" spans="1:24" ht="12.75">
      <c r="A11" s="6">
        <v>6</v>
      </c>
      <c r="B11" s="7" t="s">
        <v>53</v>
      </c>
      <c r="C11" s="49">
        <v>1768</v>
      </c>
      <c r="D11" s="9">
        <v>137569</v>
      </c>
      <c r="E11" s="9"/>
      <c r="F11" s="10" t="s">
        <v>10</v>
      </c>
      <c r="G11" s="11">
        <f t="shared" si="0"/>
        <v>1788.397013706497</v>
      </c>
      <c r="H11" s="9">
        <v>61666.7</v>
      </c>
      <c r="I11" s="9">
        <v>185</v>
      </c>
      <c r="J11" s="10" t="s">
        <v>10</v>
      </c>
      <c r="K11" s="11">
        <f t="shared" si="1"/>
        <v>185.0001</v>
      </c>
      <c r="L11" s="9">
        <v>513666.7</v>
      </c>
      <c r="M11" s="9">
        <v>1541</v>
      </c>
      <c r="N11" s="10" t="s">
        <v>10</v>
      </c>
      <c r="O11" s="11">
        <f t="shared" si="2"/>
        <v>1541.0001</v>
      </c>
      <c r="P11" s="9">
        <v>126666.7</v>
      </c>
      <c r="Q11" s="9">
        <v>3800</v>
      </c>
      <c r="R11" s="10" t="s">
        <v>10</v>
      </c>
      <c r="S11" s="11">
        <f t="shared" si="3"/>
        <v>3800.969304612012</v>
      </c>
      <c r="T11" s="11">
        <f t="shared" si="4"/>
        <v>7315.366518318509</v>
      </c>
      <c r="U11" s="45">
        <v>107.3</v>
      </c>
      <c r="V11" s="11">
        <f t="shared" si="6"/>
        <v>7422.66651831851</v>
      </c>
      <c r="W11" s="11">
        <f t="shared" si="7"/>
        <v>4.198340790904134</v>
      </c>
      <c r="X11" s="36">
        <f t="shared" si="5"/>
        <v>1.886750356827329</v>
      </c>
    </row>
    <row r="12" spans="1:24" ht="12.75">
      <c r="A12" s="6">
        <v>7</v>
      </c>
      <c r="B12" s="7" t="s">
        <v>54</v>
      </c>
      <c r="C12" s="49">
        <v>870</v>
      </c>
      <c r="D12" s="9">
        <v>65567.8</v>
      </c>
      <c r="E12" s="9"/>
      <c r="F12" s="10" t="s">
        <v>10</v>
      </c>
      <c r="G12" s="11">
        <f t="shared" si="0"/>
        <v>852.3814065327572</v>
      </c>
      <c r="H12" s="9">
        <v>39000</v>
      </c>
      <c r="I12" s="9">
        <v>117</v>
      </c>
      <c r="J12" s="10" t="s">
        <v>10</v>
      </c>
      <c r="K12" s="11">
        <f t="shared" si="1"/>
        <v>117</v>
      </c>
      <c r="L12" s="9">
        <v>357000</v>
      </c>
      <c r="M12" s="9">
        <v>1071</v>
      </c>
      <c r="N12" s="10" t="s">
        <v>10</v>
      </c>
      <c r="O12" s="11">
        <f t="shared" si="2"/>
        <v>1071</v>
      </c>
      <c r="P12" s="9">
        <v>5</v>
      </c>
      <c r="Q12" s="9">
        <v>1.5</v>
      </c>
      <c r="R12" s="10" t="s">
        <v>10</v>
      </c>
      <c r="S12" s="11">
        <f t="shared" si="3"/>
        <v>0.1500382225404156</v>
      </c>
      <c r="T12" s="11">
        <f t="shared" si="4"/>
        <v>2040.5314447552976</v>
      </c>
      <c r="U12" s="45">
        <v>52.8</v>
      </c>
      <c r="V12" s="11">
        <f t="shared" si="6"/>
        <v>2093.3314447552975</v>
      </c>
      <c r="W12" s="11">
        <f t="shared" si="7"/>
        <v>2.406128097419882</v>
      </c>
      <c r="X12" s="36">
        <f t="shared" si="5"/>
        <v>1.081323139897265</v>
      </c>
    </row>
    <row r="13" spans="1:24" ht="12.75">
      <c r="A13" s="6">
        <v>8</v>
      </c>
      <c r="B13" s="7" t="s">
        <v>55</v>
      </c>
      <c r="C13" s="49">
        <v>1998</v>
      </c>
      <c r="D13" s="9">
        <v>150579.9</v>
      </c>
      <c r="E13" s="9"/>
      <c r="F13" s="10" t="s">
        <v>10</v>
      </c>
      <c r="G13" s="11">
        <f t="shared" si="0"/>
        <v>1957.5387150028205</v>
      </c>
      <c r="H13" s="9">
        <v>102000</v>
      </c>
      <c r="I13" s="9">
        <v>306</v>
      </c>
      <c r="J13" s="10" t="s">
        <v>10</v>
      </c>
      <c r="K13" s="11">
        <f t="shared" si="1"/>
        <v>306</v>
      </c>
      <c r="L13" s="9">
        <v>574333.3</v>
      </c>
      <c r="M13" s="9">
        <v>1723</v>
      </c>
      <c r="N13" s="10" t="s">
        <v>10</v>
      </c>
      <c r="O13" s="11">
        <f t="shared" si="2"/>
        <v>1722.9999000000003</v>
      </c>
      <c r="P13" s="9">
        <v>37600</v>
      </c>
      <c r="Q13" s="9">
        <v>1128</v>
      </c>
      <c r="R13" s="10" t="s">
        <v>10</v>
      </c>
      <c r="S13" s="11">
        <f t="shared" si="3"/>
        <v>1128.2874335039253</v>
      </c>
      <c r="T13" s="11">
        <f t="shared" si="4"/>
        <v>5114.826048506746</v>
      </c>
      <c r="U13" s="45">
        <v>121.3</v>
      </c>
      <c r="V13" s="11">
        <f t="shared" si="6"/>
        <v>5236.126048506746</v>
      </c>
      <c r="W13" s="11">
        <f t="shared" si="7"/>
        <v>2.6206837079613345</v>
      </c>
      <c r="X13" s="36">
        <f t="shared" si="5"/>
        <v>1.1777452492280351</v>
      </c>
    </row>
    <row r="14" spans="1:24" ht="12.75">
      <c r="A14" s="6">
        <v>9</v>
      </c>
      <c r="B14" s="7" t="s">
        <v>56</v>
      </c>
      <c r="C14" s="49">
        <v>727</v>
      </c>
      <c r="D14" s="9">
        <v>19789</v>
      </c>
      <c r="E14" s="9"/>
      <c r="F14" s="10" t="s">
        <v>10</v>
      </c>
      <c r="G14" s="11">
        <f t="shared" si="0"/>
        <v>257.2570019716497</v>
      </c>
      <c r="H14" s="9">
        <v>23333.3</v>
      </c>
      <c r="I14" s="9">
        <v>70</v>
      </c>
      <c r="J14" s="10" t="s">
        <v>10</v>
      </c>
      <c r="K14" s="11">
        <f t="shared" si="1"/>
        <v>69.9999</v>
      </c>
      <c r="L14" s="9">
        <v>111000</v>
      </c>
      <c r="M14" s="9">
        <v>333</v>
      </c>
      <c r="N14" s="10" t="s">
        <v>10</v>
      </c>
      <c r="O14" s="11">
        <f t="shared" si="2"/>
        <v>333</v>
      </c>
      <c r="P14" s="9">
        <v>404.9</v>
      </c>
      <c r="Q14" s="9">
        <v>12.1</v>
      </c>
      <c r="R14" s="10" t="s">
        <v>10</v>
      </c>
      <c r="S14" s="11">
        <f t="shared" si="3"/>
        <v>12.150095261322855</v>
      </c>
      <c r="T14" s="11">
        <f t="shared" si="4"/>
        <v>672.4069972329726</v>
      </c>
      <c r="U14" s="45">
        <v>44.1</v>
      </c>
      <c r="V14" s="11">
        <f t="shared" si="6"/>
        <v>716.5069972329726</v>
      </c>
      <c r="W14" s="11">
        <f t="shared" si="7"/>
        <v>0.985566708711104</v>
      </c>
      <c r="X14" s="36">
        <f t="shared" si="5"/>
        <v>0.44291743618491597</v>
      </c>
    </row>
    <row r="15" spans="1:24" ht="12.75">
      <c r="A15" s="6">
        <v>10</v>
      </c>
      <c r="B15" s="7" t="s">
        <v>57</v>
      </c>
      <c r="C15" s="49">
        <v>1949</v>
      </c>
      <c r="D15" s="9">
        <v>69789</v>
      </c>
      <c r="E15" s="9"/>
      <c r="F15" s="10" t="s">
        <v>10</v>
      </c>
      <c r="G15" s="11">
        <f t="shared" si="0"/>
        <v>907.2570069533306</v>
      </c>
      <c r="H15" s="9">
        <v>60333.3</v>
      </c>
      <c r="I15" s="9">
        <v>181</v>
      </c>
      <c r="J15" s="10" t="s">
        <v>10</v>
      </c>
      <c r="K15" s="11">
        <f t="shared" si="1"/>
        <v>180.99990000000003</v>
      </c>
      <c r="L15" s="9">
        <v>238333.3</v>
      </c>
      <c r="M15" s="9">
        <v>715</v>
      </c>
      <c r="N15" s="10" t="s">
        <v>10</v>
      </c>
      <c r="O15" s="11">
        <f t="shared" si="2"/>
        <v>714.9999</v>
      </c>
      <c r="P15" s="9">
        <v>989</v>
      </c>
      <c r="Q15" s="9">
        <v>29.7</v>
      </c>
      <c r="R15" s="10" t="s">
        <v>10</v>
      </c>
      <c r="S15" s="11">
        <f t="shared" si="3"/>
        <v>29.677560418494206</v>
      </c>
      <c r="T15" s="11">
        <f t="shared" si="4"/>
        <v>1832.934367371825</v>
      </c>
      <c r="U15" s="45">
        <v>118.3</v>
      </c>
      <c r="V15" s="11">
        <f t="shared" si="6"/>
        <v>1951.2343673718249</v>
      </c>
      <c r="W15" s="11">
        <f t="shared" si="7"/>
        <v>1.0011464173277707</v>
      </c>
      <c r="X15" s="36">
        <f t="shared" si="5"/>
        <v>0.44991901663199335</v>
      </c>
    </row>
    <row r="16" spans="1:24" ht="12.75">
      <c r="A16" s="12"/>
      <c r="B16" s="13" t="s">
        <v>11</v>
      </c>
      <c r="C16" s="13">
        <f>SUM(C6:C15)</f>
        <v>26635</v>
      </c>
      <c r="D16" s="14">
        <f>SUM(D6:D15)</f>
        <v>2007354.5999999999</v>
      </c>
      <c r="E16" s="14">
        <v>260956.1</v>
      </c>
      <c r="F16" s="13">
        <f>IF(D16&lt;&gt;0,E16/D16,0)</f>
        <v>0.13000000099633618</v>
      </c>
      <c r="G16" s="14">
        <f>SUM(G6:G15)</f>
        <v>26095.610000000008</v>
      </c>
      <c r="H16" s="14">
        <f>SUM(H6:H15)</f>
        <v>1516000</v>
      </c>
      <c r="I16" s="14">
        <f>SUM(I6:I15)</f>
        <v>4548</v>
      </c>
      <c r="J16" s="13">
        <f>IF(H16&lt;&gt;0,I16/H16,0)</f>
        <v>0.003</v>
      </c>
      <c r="K16" s="14">
        <f>SUM(K6:K15)</f>
        <v>4548</v>
      </c>
      <c r="L16" s="14">
        <f>SUM(L6:L15)</f>
        <v>5951000</v>
      </c>
      <c r="M16" s="14">
        <f>SUM(M6:M15)</f>
        <v>17853</v>
      </c>
      <c r="N16" s="13">
        <f>IF(L16&lt;&gt;0,M16/L16,0)</f>
        <v>0.003</v>
      </c>
      <c r="O16" s="14">
        <f>SUM(O6:O15)</f>
        <v>17852.999999999996</v>
      </c>
      <c r="P16" s="14">
        <f>P6+P7+P8+P9+P10+P11+P12+P13++P14+P15</f>
        <v>305055.60000000003</v>
      </c>
      <c r="Q16" s="14">
        <f>SUM(Q6:Q15)</f>
        <v>9154.000000000002</v>
      </c>
      <c r="R16" s="13">
        <f>IF(P16&lt;&gt;0,Q16/P16,0)</f>
        <v>0.03000764450808312</v>
      </c>
      <c r="S16" s="14">
        <f>SUM(S6:S15)</f>
        <v>9154.000000000002</v>
      </c>
      <c r="T16" s="14">
        <f t="shared" si="4"/>
        <v>57650.61000000001</v>
      </c>
      <c r="U16" s="14">
        <f>SUM(U6:U15)</f>
        <v>1616.8</v>
      </c>
      <c r="V16" s="14">
        <f>U16+T16</f>
        <v>59267.41000000001</v>
      </c>
      <c r="W16" s="42">
        <f t="shared" si="7"/>
        <v>2.2251702646893188</v>
      </c>
      <c r="X16" s="14">
        <f t="shared" si="5"/>
        <v>1</v>
      </c>
    </row>
  </sheetData>
  <sheetProtection/>
  <mergeCells count="13">
    <mergeCell ref="X3:X4"/>
    <mergeCell ref="L3:O3"/>
    <mergeCell ref="P3:S3"/>
    <mergeCell ref="T3:T4"/>
    <mergeCell ref="U3:U4"/>
    <mergeCell ref="V3:V4"/>
    <mergeCell ref="W3:W4"/>
    <mergeCell ref="C1:K1"/>
    <mergeCell ref="A3:A4"/>
    <mergeCell ref="B3:B4"/>
    <mergeCell ref="C3:C4"/>
    <mergeCell ref="D3:G3"/>
    <mergeCell ref="H3:K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5" sqref="J25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9.00390625" style="1" customWidth="1"/>
    <col min="15" max="16384" width="8.00390625" style="1" customWidth="1"/>
  </cols>
  <sheetData>
    <row r="1" spans="3:8" ht="27" customHeight="1">
      <c r="C1" s="67" t="s">
        <v>69</v>
      </c>
      <c r="D1" s="67"/>
      <c r="E1" s="67"/>
      <c r="F1" s="67"/>
      <c r="G1" s="67"/>
      <c r="H1" s="67"/>
    </row>
    <row r="2" ht="12"/>
    <row r="3" spans="1:12" ht="30.75" customHeight="1">
      <c r="A3" s="70" t="s">
        <v>0</v>
      </c>
      <c r="B3" s="70" t="s">
        <v>1</v>
      </c>
      <c r="C3" s="69" t="s">
        <v>2</v>
      </c>
      <c r="D3" s="68" t="s">
        <v>47</v>
      </c>
      <c r="E3" s="60" t="s">
        <v>18</v>
      </c>
      <c r="F3" s="60" t="s">
        <v>14</v>
      </c>
      <c r="G3" s="60" t="s">
        <v>15</v>
      </c>
      <c r="H3" s="60" t="s">
        <v>17</v>
      </c>
      <c r="I3" s="62" t="s">
        <v>42</v>
      </c>
      <c r="J3" s="62" t="s">
        <v>40</v>
      </c>
      <c r="K3" s="60" t="s">
        <v>43</v>
      </c>
      <c r="L3" s="62" t="s">
        <v>41</v>
      </c>
    </row>
    <row r="4" spans="1:14" ht="90" customHeight="1">
      <c r="A4" s="70"/>
      <c r="B4" s="70"/>
      <c r="C4" s="69"/>
      <c r="D4" s="68"/>
      <c r="E4" s="61"/>
      <c r="F4" s="61"/>
      <c r="G4" s="61"/>
      <c r="H4" s="61"/>
      <c r="I4" s="62"/>
      <c r="J4" s="62"/>
      <c r="K4" s="61"/>
      <c r="L4" s="62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0.6</v>
      </c>
      <c r="H5" s="16">
        <v>2879.6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9104</v>
      </c>
      <c r="D6" s="28">
        <f>'ИНП 2023'!X6</f>
        <v>1.0547240704656269</v>
      </c>
      <c r="E6" s="28">
        <f>'ИБР 2023'!Y6</f>
        <v>0.7606692225190881</v>
      </c>
      <c r="F6" s="36">
        <f>IF(E6&lt;&gt;0,D6/E6,0)</f>
        <v>1.3865738736907551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23481.4+M6</f>
        <v>24034.100000000002</v>
      </c>
      <c r="J6" s="40">
        <f>I6+H6</f>
        <v>24034.100000000002</v>
      </c>
      <c r="K6" s="41">
        <v>24031.1</v>
      </c>
      <c r="L6" s="40">
        <f>J6-K6</f>
        <v>3.000000000003638</v>
      </c>
      <c r="M6" s="45">
        <v>552.7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5060</v>
      </c>
      <c r="D7" s="28">
        <f>'ИНП 2023'!X7</f>
        <v>0.8551118302393731</v>
      </c>
      <c r="E7" s="28">
        <f>'ИБР 2023'!Y7</f>
        <v>0.8934318722557186</v>
      </c>
      <c r="F7" s="36">
        <f aca="true" t="shared" si="2" ref="F7:F16">IF(E7&lt;&gt;0,D7/E7,0)</f>
        <v>0.9571091616425147</v>
      </c>
      <c r="G7" s="17">
        <f t="shared" si="0"/>
        <v>0</v>
      </c>
      <c r="H7" s="17">
        <f t="shared" si="1"/>
        <v>0</v>
      </c>
      <c r="I7" s="47">
        <f>13004.9+M7</f>
        <v>13312.1</v>
      </c>
      <c r="J7" s="40">
        <f aca="true" t="shared" si="3" ref="J7:J16">I7+H7</f>
        <v>13312.1</v>
      </c>
      <c r="K7" s="41">
        <v>13312.1</v>
      </c>
      <c r="L7" s="40">
        <f aca="true" t="shared" si="4" ref="L7:L16">J7-K7</f>
        <v>0</v>
      </c>
      <c r="M7" s="45">
        <v>307.2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2481</v>
      </c>
      <c r="D8" s="28">
        <f>'ИНП 2023'!X8</f>
        <v>1.284693931705504</v>
      </c>
      <c r="E8" s="28">
        <f>'ИБР 2023'!Y8</f>
        <v>0.9602099700543316</v>
      </c>
      <c r="F8" s="36">
        <f t="shared" si="2"/>
        <v>1.337930215026628</v>
      </c>
      <c r="G8" s="17">
        <f t="shared" si="0"/>
        <v>0</v>
      </c>
      <c r="H8" s="17">
        <f t="shared" si="1"/>
        <v>0</v>
      </c>
      <c r="I8" s="47">
        <f>8786.6+M8</f>
        <v>8937.2</v>
      </c>
      <c r="J8" s="40">
        <f t="shared" si="3"/>
        <v>8937.2</v>
      </c>
      <c r="K8" s="41">
        <v>8937.2</v>
      </c>
      <c r="L8" s="40">
        <f t="shared" si="4"/>
        <v>0</v>
      </c>
      <c r="M8" s="45">
        <v>150.6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722</v>
      </c>
      <c r="D9" s="28">
        <f>'ИНП 2023'!X9</f>
        <v>1.7013042101467808</v>
      </c>
      <c r="E9" s="28">
        <f>'ИБР 2023'!Y9</f>
        <v>1.9132394959457661</v>
      </c>
      <c r="F9" s="36">
        <f t="shared" si="2"/>
        <v>0.8892269962813935</v>
      </c>
      <c r="G9" s="17">
        <f t="shared" si="0"/>
        <v>0</v>
      </c>
      <c r="H9" s="17">
        <f t="shared" si="1"/>
        <v>0</v>
      </c>
      <c r="I9" s="47">
        <f>3869+M9</f>
        <v>3912.8</v>
      </c>
      <c r="J9" s="40">
        <f t="shared" si="3"/>
        <v>3912.8</v>
      </c>
      <c r="K9" s="41">
        <v>3912.8</v>
      </c>
      <c r="L9" s="40">
        <f t="shared" si="4"/>
        <v>0</v>
      </c>
      <c r="M9" s="45">
        <v>43.8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1956</v>
      </c>
      <c r="D10" s="28">
        <f>'ИНП 2023'!X10</f>
        <v>0.8226204867926215</v>
      </c>
      <c r="E10" s="28">
        <f>'ИБР 2023'!Y10</f>
        <v>1.2183788183896525</v>
      </c>
      <c r="F10" s="36">
        <f t="shared" si="2"/>
        <v>0.6751762870269609</v>
      </c>
      <c r="G10" s="17">
        <f t="shared" si="0"/>
        <v>0</v>
      </c>
      <c r="H10" s="17">
        <f t="shared" si="1"/>
        <v>0</v>
      </c>
      <c r="I10" s="47">
        <f>5679.9+M10</f>
        <v>5798.599999999999</v>
      </c>
      <c r="J10" s="40">
        <f t="shared" si="3"/>
        <v>5798.599999999999</v>
      </c>
      <c r="K10" s="41">
        <v>5798.6</v>
      </c>
      <c r="L10" s="40">
        <f t="shared" si="4"/>
        <v>0</v>
      </c>
      <c r="M10" s="45">
        <v>118.7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1768</v>
      </c>
      <c r="D11" s="28">
        <f>'ИНП 2023'!X11</f>
        <v>1.6061417918813417</v>
      </c>
      <c r="E11" s="28">
        <f>'ИБР 2023'!Y11</f>
        <v>1.2558520296116629</v>
      </c>
      <c r="F11" s="36">
        <f t="shared" si="2"/>
        <v>1.2789259833246407</v>
      </c>
      <c r="G11" s="17">
        <f t="shared" si="0"/>
        <v>0</v>
      </c>
      <c r="H11" s="17">
        <f t="shared" si="1"/>
        <v>0</v>
      </c>
      <c r="I11" s="47">
        <f>9101.1+M11</f>
        <v>9208.4</v>
      </c>
      <c r="J11" s="40">
        <f t="shared" si="3"/>
        <v>9208.4</v>
      </c>
      <c r="K11" s="41">
        <v>9208.4</v>
      </c>
      <c r="L11" s="40">
        <f t="shared" si="4"/>
        <v>0</v>
      </c>
      <c r="M11" s="45">
        <v>107.3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870</v>
      </c>
      <c r="D12" s="28">
        <f>'ИНП 2023'!X12</f>
        <v>0.8205744207354843</v>
      </c>
      <c r="E12" s="28">
        <f>'ИБР 2023'!Y12</f>
        <v>1.487294583089093</v>
      </c>
      <c r="F12" s="36">
        <f t="shared" si="2"/>
        <v>0.5517228597922821</v>
      </c>
      <c r="G12" s="17">
        <f t="shared" si="0"/>
        <v>184.49445506442447</v>
      </c>
      <c r="H12" s="17">
        <f t="shared" si="1"/>
        <v>184.5</v>
      </c>
      <c r="I12" s="47">
        <f>2897.1+M12</f>
        <v>2949.9</v>
      </c>
      <c r="J12" s="40">
        <f t="shared" si="3"/>
        <v>3134.4</v>
      </c>
      <c r="K12" s="41">
        <v>3134.4</v>
      </c>
      <c r="L12" s="40">
        <f t="shared" si="4"/>
        <v>0</v>
      </c>
      <c r="M12" s="45">
        <v>52.8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1998</v>
      </c>
      <c r="D13" s="28">
        <f>'ИНП 2023'!X13</f>
        <v>0.964237714178598</v>
      </c>
      <c r="E13" s="28">
        <f>'ИБР 2023'!Y13</f>
        <v>1.014907527479856</v>
      </c>
      <c r="F13" s="36">
        <f t="shared" si="2"/>
        <v>0.9500744531602031</v>
      </c>
      <c r="G13" s="17">
        <f t="shared" si="0"/>
        <v>0</v>
      </c>
      <c r="H13" s="17">
        <f t="shared" si="1"/>
        <v>0</v>
      </c>
      <c r="I13" s="47">
        <f>7544.6+M13</f>
        <v>7665.900000000001</v>
      </c>
      <c r="J13" s="40">
        <f t="shared" si="3"/>
        <v>7665.900000000001</v>
      </c>
      <c r="K13" s="41">
        <v>7665.9</v>
      </c>
      <c r="L13" s="40">
        <f t="shared" si="4"/>
        <v>0</v>
      </c>
      <c r="M13" s="45">
        <v>121.3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727</v>
      </c>
      <c r="D14" s="28">
        <f>'ИНП 2023'!X14</f>
        <v>0.42592346647189216</v>
      </c>
      <c r="E14" s="28">
        <f>'ИБР 2023'!Y14</f>
        <v>1.9070402065575132</v>
      </c>
      <c r="F14" s="36">
        <f t="shared" si="2"/>
        <v>0.22334267783517076</v>
      </c>
      <c r="G14" s="17">
        <f t="shared" si="0"/>
        <v>1542.2905877109777</v>
      </c>
      <c r="H14" s="17">
        <f t="shared" si="1"/>
        <v>1542.3</v>
      </c>
      <c r="I14" s="47">
        <f>1230.5+M14</f>
        <v>1274.6</v>
      </c>
      <c r="J14" s="40">
        <f t="shared" si="3"/>
        <v>2816.8999999999996</v>
      </c>
      <c r="K14" s="41">
        <v>2816.9</v>
      </c>
      <c r="L14" s="40">
        <f t="shared" si="4"/>
        <v>0</v>
      </c>
      <c r="M14" s="45">
        <v>44.1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1949</v>
      </c>
      <c r="D15" s="28">
        <f>'ИНП 2023'!X15</f>
        <v>0.4573943036818958</v>
      </c>
      <c r="E15" s="28">
        <f>'ИБР 2023'!Y15</f>
        <v>1.0961088656234126</v>
      </c>
      <c r="F15" s="36">
        <f t="shared" si="2"/>
        <v>0.4172891197461053</v>
      </c>
      <c r="G15" s="17">
        <f t="shared" si="0"/>
        <v>1152.8039951192002</v>
      </c>
      <c r="H15" s="17">
        <f t="shared" si="1"/>
        <v>1152.8</v>
      </c>
      <c r="I15" s="47">
        <f>3069.3+M15</f>
        <v>3187.6000000000004</v>
      </c>
      <c r="J15" s="40">
        <f t="shared" si="3"/>
        <v>4340.400000000001</v>
      </c>
      <c r="K15" s="41">
        <v>4340.4</v>
      </c>
      <c r="L15" s="40">
        <f t="shared" si="4"/>
        <v>0</v>
      </c>
      <c r="M15" s="45">
        <v>118.3</v>
      </c>
      <c r="N15" s="51"/>
      <c r="P15" s="54"/>
      <c r="Q15" s="44"/>
    </row>
    <row r="16" spans="1:17" ht="14.25">
      <c r="A16" s="12"/>
      <c r="B16" s="13" t="s">
        <v>11</v>
      </c>
      <c r="C16" s="43">
        <f>SUM(C6:C15)</f>
        <v>26635</v>
      </c>
      <c r="D16" s="37">
        <f>'ИНП 2023'!X16</f>
        <v>1</v>
      </c>
      <c r="E16" s="37">
        <f>'ИБР 2023'!Y16</f>
        <v>1</v>
      </c>
      <c r="F16" s="38">
        <f t="shared" si="2"/>
        <v>1</v>
      </c>
      <c r="G16" s="39">
        <f>SUM(G6:G15)</f>
        <v>2879.5890378946024</v>
      </c>
      <c r="H16" s="39">
        <f t="shared" si="1"/>
        <v>2879.6</v>
      </c>
      <c r="I16" s="39">
        <f>SUM(I6:I15)</f>
        <v>80281.20000000001</v>
      </c>
      <c r="J16" s="39">
        <f t="shared" si="3"/>
        <v>83160.80000000002</v>
      </c>
      <c r="K16" s="39">
        <f>SUM(K6:K15)</f>
        <v>83157.79999999997</v>
      </c>
      <c r="L16" s="39">
        <f t="shared" si="4"/>
        <v>3.0000000000436557</v>
      </c>
      <c r="M16" s="1">
        <f>SUM(M6:M15)</f>
        <v>1616.8</v>
      </c>
      <c r="N16" s="51"/>
      <c r="P16" s="54"/>
      <c r="Q16" s="44"/>
    </row>
    <row r="17" spans="8:14" ht="14.25">
      <c r="H17" s="44"/>
      <c r="N17" s="51"/>
    </row>
    <row r="18" spans="6:17" ht="14.25">
      <c r="F18" s="18" t="s">
        <v>16</v>
      </c>
      <c r="G18" s="9">
        <v>78664.4</v>
      </c>
      <c r="I18" s="44"/>
      <c r="L18" s="44"/>
      <c r="N18" s="52"/>
      <c r="Q18" s="44"/>
    </row>
    <row r="19" spans="12:14" ht="14.25">
      <c r="L19" s="44"/>
      <c r="N19" s="51"/>
    </row>
    <row r="20" spans="7:8" ht="11.25">
      <c r="G20" s="44"/>
      <c r="H20" s="44"/>
    </row>
    <row r="21" ht="11.25">
      <c r="G21" s="44"/>
    </row>
  </sheetData>
  <sheetProtection/>
  <mergeCells count="13">
    <mergeCell ref="I3:I4"/>
    <mergeCell ref="J3:J4"/>
    <mergeCell ref="K3:K4"/>
    <mergeCell ref="L3:L4"/>
    <mergeCell ref="C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7" sqref="L27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7" t="s">
        <v>70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3" t="s">
        <v>0</v>
      </c>
      <c r="B3" s="63" t="s">
        <v>1</v>
      </c>
      <c r="C3" s="65" t="str">
        <f>'[2]МР_П'!C3</f>
        <v>Числен-ность постоян-ного населения, чел</v>
      </c>
      <c r="D3" s="20" t="s">
        <v>20</v>
      </c>
      <c r="E3" s="65" t="s">
        <v>21</v>
      </c>
      <c r="F3" s="62" t="s">
        <v>22</v>
      </c>
      <c r="G3" s="62"/>
      <c r="H3" s="21"/>
      <c r="I3" s="21"/>
      <c r="J3" s="21"/>
      <c r="K3" s="62" t="s">
        <v>23</v>
      </c>
      <c r="L3" s="62"/>
      <c r="M3" s="62"/>
      <c r="N3" s="62"/>
      <c r="O3" s="57" t="s">
        <v>24</v>
      </c>
      <c r="P3" s="58"/>
      <c r="Q3" s="58"/>
      <c r="R3" s="58"/>
      <c r="S3" s="59"/>
      <c r="T3" s="57" t="s">
        <v>25</v>
      </c>
      <c r="U3" s="58"/>
      <c r="V3" s="58"/>
      <c r="W3" s="58"/>
      <c r="X3" s="59"/>
      <c r="Y3" s="60" t="s">
        <v>13</v>
      </c>
    </row>
    <row r="4" spans="1:25" ht="56.25">
      <c r="A4" s="64"/>
      <c r="B4" s="64"/>
      <c r="C4" s="66"/>
      <c r="D4" s="20" t="s">
        <v>26</v>
      </c>
      <c r="E4" s="66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1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9104</v>
      </c>
      <c r="D6" s="8">
        <v>9104</v>
      </c>
      <c r="E6" s="8"/>
      <c r="F6" s="25">
        <v>2549.09</v>
      </c>
      <c r="G6" s="25">
        <v>36.42</v>
      </c>
      <c r="H6" s="26">
        <v>21467.3</v>
      </c>
      <c r="I6" s="26">
        <f aca="true" t="shared" si="0" ref="I6:I12">F6*H6</f>
        <v>54722079.757</v>
      </c>
      <c r="J6" s="27">
        <f>'ИБР 2025'!G6*'ИБР 2025'!H6/'ИБР 2025'!$H$16</f>
        <v>7.055099450455247</v>
      </c>
      <c r="K6" s="28">
        <f aca="true" t="shared" si="1" ref="K6:K15">IF(C6&lt;&gt;0,0.6+0.4*($C$16/COUNT($A$6:$A$15))/C6,0)</f>
        <v>0.7170254833040421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1.0024134753722054</v>
      </c>
      <c r="O6" s="17">
        <f aca="true" t="shared" si="3" ref="O6:O16">C6*K6</f>
        <v>6527.799999999999</v>
      </c>
      <c r="P6" s="17">
        <f>C6*L6*M6</f>
        <v>18208</v>
      </c>
      <c r="Q6" s="17">
        <f aca="true" t="shared" si="4" ref="Q6:Q16">C6*M6</f>
        <v>18208</v>
      </c>
      <c r="R6" s="17">
        <f aca="true" t="shared" si="5" ref="R6:R16">C6*K6*N6</f>
        <v>6543.554684534682</v>
      </c>
      <c r="S6" s="17">
        <f aca="true" t="shared" si="6" ref="S6:S16">C6*L6</f>
        <v>9104</v>
      </c>
      <c r="T6" s="28">
        <f aca="true" t="shared" si="7" ref="T6:T16">IF(C6&lt;&gt;0,(O6/$C6)/(O$16/$C$16),0)</f>
        <v>0.7170254833040421</v>
      </c>
      <c r="U6" s="28">
        <f aca="true" t="shared" si="8" ref="U6:U16">IF(C6&lt;&gt;0,(P6/$C6)/(P$16/$C$16),0)</f>
        <v>1.1741303355343455</v>
      </c>
      <c r="V6" s="28">
        <f aca="true" t="shared" si="9" ref="V6:V16">IF(C6&lt;&gt;0,(Q6/$C6)/(Q$16/$C$16),0)</f>
        <v>1.4190953167456979</v>
      </c>
      <c r="W6" s="28">
        <f aca="true" t="shared" si="10" ref="W6:W16">IF(C6&lt;&gt;0,(R6/$C6)/(R$16/$C$16),0)</f>
        <v>0.7187560066492401</v>
      </c>
      <c r="X6" s="28">
        <f aca="true" t="shared" si="11" ref="X6:X16">IF(C6&lt;&gt;0,(S6/$C6)/(S$16/$C$16),0)</f>
        <v>0.8273794731610338</v>
      </c>
      <c r="Y6" s="29">
        <f>IF(SUM($T$5:$X$5)=1,T6*$T$5+U6*$U$5+V6*$V$5+W6*$W$5+X6*$X$5,0)</f>
        <v>0.7606692225190881</v>
      </c>
    </row>
    <row r="7" spans="1:25" ht="11.25">
      <c r="A7" s="6">
        <v>2</v>
      </c>
      <c r="B7" s="7" t="s">
        <v>49</v>
      </c>
      <c r="C7" s="49">
        <v>5060</v>
      </c>
      <c r="D7" s="8">
        <v>1799</v>
      </c>
      <c r="E7" s="8">
        <v>1186</v>
      </c>
      <c r="F7" s="25">
        <v>2549.09</v>
      </c>
      <c r="G7" s="25">
        <v>36.42</v>
      </c>
      <c r="H7" s="26">
        <v>13753.5</v>
      </c>
      <c r="I7" s="26">
        <f t="shared" si="0"/>
        <v>35058909.315000005</v>
      </c>
      <c r="J7" s="27">
        <f>'ИБР 2025'!G7*'ИБР 2025'!H7/'ИБР 2025'!$H$16</f>
        <v>4.520005323996788</v>
      </c>
      <c r="K7" s="28">
        <f t="shared" si="1"/>
        <v>0.8105533596837945</v>
      </c>
      <c r="L7" s="28">
        <f aca="true" t="shared" si="12" ref="L7:L15">IF(C7&lt;&gt;0,1+E7/C7,0)</f>
        <v>1.234387351778656</v>
      </c>
      <c r="M7" s="28">
        <f aca="true" t="shared" si="13" ref="M7:M15">IF(C7&lt;&gt;0,1+D7/C7,0)</f>
        <v>1.3555335968379447</v>
      </c>
      <c r="N7" s="28">
        <f t="shared" si="2"/>
        <v>1.0024134753722054</v>
      </c>
      <c r="O7" s="17">
        <f t="shared" si="3"/>
        <v>4101.400000000001</v>
      </c>
      <c r="P7" s="17">
        <f aca="true" t="shared" si="14" ref="P7:P16">C7*L7*M7</f>
        <v>8466.662845849803</v>
      </c>
      <c r="Q7" s="17">
        <f t="shared" si="4"/>
        <v>6859</v>
      </c>
      <c r="R7" s="17">
        <f t="shared" si="5"/>
        <v>4111.298627891563</v>
      </c>
      <c r="S7" s="17">
        <f t="shared" si="6"/>
        <v>6246</v>
      </c>
      <c r="T7" s="28">
        <f t="shared" si="7"/>
        <v>0.8105533596837946</v>
      </c>
      <c r="U7" s="28">
        <f t="shared" si="8"/>
        <v>0.9823088624559098</v>
      </c>
      <c r="V7" s="28">
        <f t="shared" si="9"/>
        <v>0.9618156894820891</v>
      </c>
      <c r="W7" s="28">
        <f t="shared" si="10"/>
        <v>0.8125096102552497</v>
      </c>
      <c r="X7" s="28">
        <f t="shared" si="11"/>
        <v>1.0213067567912681</v>
      </c>
      <c r="Y7" s="29">
        <f aca="true" t="shared" si="15" ref="Y7:Y16">IF(SUM($T$5:$X$5)=1,T7*$T$5+U7*$U$5+V7*$V$5+W7*$W$5+X7*$X$5,0)</f>
        <v>0.8934318722557186</v>
      </c>
    </row>
    <row r="8" spans="1:25" ht="11.25">
      <c r="A8" s="6">
        <v>3</v>
      </c>
      <c r="B8" s="7" t="s">
        <v>50</v>
      </c>
      <c r="C8" s="49">
        <v>2481</v>
      </c>
      <c r="D8" s="8"/>
      <c r="E8" s="8">
        <v>67</v>
      </c>
      <c r="F8" s="25">
        <v>2549.09</v>
      </c>
      <c r="G8" s="25">
        <v>36.42</v>
      </c>
      <c r="H8" s="26">
        <v>16300</v>
      </c>
      <c r="I8" s="26">
        <f t="shared" si="0"/>
        <v>41550167</v>
      </c>
      <c r="J8" s="27">
        <f>'ИБР 2025'!G8*'ИБР 2025'!H8/'ИБР 2025'!$H$16</f>
        <v>5.3568972829568935</v>
      </c>
      <c r="K8" s="28">
        <f t="shared" si="1"/>
        <v>1.0294236195082629</v>
      </c>
      <c r="L8" s="28">
        <f t="shared" si="12"/>
        <v>1.0270052398226521</v>
      </c>
      <c r="M8" s="28">
        <f t="shared" si="13"/>
        <v>1</v>
      </c>
      <c r="N8" s="28">
        <f t="shared" si="2"/>
        <v>1.0024134753722054</v>
      </c>
      <c r="O8" s="17">
        <f t="shared" si="3"/>
        <v>2554</v>
      </c>
      <c r="P8" s="17">
        <f t="shared" si="14"/>
        <v>2548</v>
      </c>
      <c r="Q8" s="17">
        <f t="shared" si="4"/>
        <v>2481</v>
      </c>
      <c r="R8" s="17">
        <f t="shared" si="5"/>
        <v>2560.1640161006126</v>
      </c>
      <c r="S8" s="17">
        <f t="shared" si="6"/>
        <v>2548</v>
      </c>
      <c r="T8" s="28">
        <f t="shared" si="7"/>
        <v>1.0294236195082629</v>
      </c>
      <c r="U8" s="28">
        <f t="shared" si="8"/>
        <v>0.6029190034142508</v>
      </c>
      <c r="V8" s="28">
        <f t="shared" si="9"/>
        <v>0.7095476583728489</v>
      </c>
      <c r="W8" s="28">
        <f t="shared" si="10"/>
        <v>1.0319081080615125</v>
      </c>
      <c r="X8" s="28">
        <f t="shared" si="11"/>
        <v>0.849723054258087</v>
      </c>
      <c r="Y8" s="29">
        <f t="shared" si="15"/>
        <v>0.9602099700543316</v>
      </c>
    </row>
    <row r="9" spans="1:25" ht="11.25">
      <c r="A9" s="6">
        <v>4</v>
      </c>
      <c r="B9" s="7" t="s">
        <v>51</v>
      </c>
      <c r="C9" s="49">
        <v>722</v>
      </c>
      <c r="D9" s="8"/>
      <c r="E9" s="8">
        <v>722</v>
      </c>
      <c r="F9" s="25">
        <v>2549.09</v>
      </c>
      <c r="G9" s="25">
        <v>36.42</v>
      </c>
      <c r="H9" s="26"/>
      <c r="I9" s="26">
        <f t="shared" si="0"/>
        <v>0</v>
      </c>
      <c r="J9" s="27">
        <f>'ИБР 2025'!G9*'ИБР 2025'!H9/'ИБР 2025'!$H$16</f>
        <v>0</v>
      </c>
      <c r="K9" s="28">
        <f t="shared" si="1"/>
        <v>2.075623268698061</v>
      </c>
      <c r="L9" s="28">
        <f t="shared" si="12"/>
        <v>2</v>
      </c>
      <c r="M9" s="28">
        <f t="shared" si="13"/>
        <v>1</v>
      </c>
      <c r="N9" s="28">
        <f t="shared" si="2"/>
        <v>1.0024134753722054</v>
      </c>
      <c r="O9" s="17">
        <f t="shared" si="3"/>
        <v>1498.6</v>
      </c>
      <c r="P9" s="17">
        <f t="shared" si="14"/>
        <v>1444</v>
      </c>
      <c r="Q9" s="17">
        <f t="shared" si="4"/>
        <v>722</v>
      </c>
      <c r="R9" s="17">
        <f t="shared" si="5"/>
        <v>1502.2168341927868</v>
      </c>
      <c r="S9" s="17">
        <f t="shared" si="6"/>
        <v>1444</v>
      </c>
      <c r="T9" s="28">
        <f t="shared" si="7"/>
        <v>2.075623268698061</v>
      </c>
      <c r="U9" s="28">
        <f t="shared" si="8"/>
        <v>1.1741303355343455</v>
      </c>
      <c r="V9" s="28">
        <f t="shared" si="9"/>
        <v>0.7095476583728489</v>
      </c>
      <c r="W9" s="28">
        <f t="shared" si="10"/>
        <v>2.08063273433904</v>
      </c>
      <c r="X9" s="28">
        <f t="shared" si="11"/>
        <v>1.6547589463220675</v>
      </c>
      <c r="Y9" s="29">
        <f t="shared" si="15"/>
        <v>1.9132394959457661</v>
      </c>
    </row>
    <row r="10" spans="1:25" ht="11.25">
      <c r="A10" s="6">
        <v>5</v>
      </c>
      <c r="B10" s="7" t="s">
        <v>52</v>
      </c>
      <c r="C10" s="49">
        <v>1956</v>
      </c>
      <c r="D10" s="8"/>
      <c r="E10" s="8">
        <v>1191</v>
      </c>
      <c r="F10" s="25">
        <v>2549.09</v>
      </c>
      <c r="G10" s="25">
        <v>36.42</v>
      </c>
      <c r="H10" s="26">
        <v>20636.3</v>
      </c>
      <c r="I10" s="26">
        <f t="shared" si="0"/>
        <v>52603785.967</v>
      </c>
      <c r="J10" s="27">
        <f>'ИБР 2025'!G10*'ИБР 2025'!H10/'ИБР 2025'!$H$16</f>
        <v>6.781996282225972</v>
      </c>
      <c r="K10" s="28">
        <f t="shared" si="1"/>
        <v>1.144683026584867</v>
      </c>
      <c r="L10" s="28">
        <f t="shared" si="12"/>
        <v>1.6088957055214723</v>
      </c>
      <c r="M10" s="28">
        <f t="shared" si="13"/>
        <v>1</v>
      </c>
      <c r="N10" s="28">
        <f t="shared" si="2"/>
        <v>1.0024134753722054</v>
      </c>
      <c r="O10" s="17">
        <f t="shared" si="3"/>
        <v>2239</v>
      </c>
      <c r="P10" s="17">
        <f t="shared" si="14"/>
        <v>3147</v>
      </c>
      <c r="Q10" s="17">
        <f t="shared" si="4"/>
        <v>1956</v>
      </c>
      <c r="R10" s="17">
        <f t="shared" si="5"/>
        <v>2244.403771358368</v>
      </c>
      <c r="S10" s="17">
        <f t="shared" si="6"/>
        <v>3147</v>
      </c>
      <c r="T10" s="28">
        <f t="shared" si="7"/>
        <v>1.144683026584867</v>
      </c>
      <c r="U10" s="28">
        <f t="shared" si="8"/>
        <v>0.944526627281847</v>
      </c>
      <c r="V10" s="28">
        <f t="shared" si="9"/>
        <v>0.7095476583728489</v>
      </c>
      <c r="W10" s="28">
        <f t="shared" si="10"/>
        <v>1.1474456908785113</v>
      </c>
      <c r="X10" s="28">
        <f t="shared" si="11"/>
        <v>1.3311672812054054</v>
      </c>
      <c r="Y10" s="29">
        <f t="shared" si="15"/>
        <v>1.2183788183896525</v>
      </c>
    </row>
    <row r="11" spans="1:25" ht="11.25">
      <c r="A11" s="6">
        <v>6</v>
      </c>
      <c r="B11" s="7" t="s">
        <v>53</v>
      </c>
      <c r="C11" s="49">
        <v>1768</v>
      </c>
      <c r="D11" s="8"/>
      <c r="E11" s="8">
        <v>1088</v>
      </c>
      <c r="F11" s="25">
        <v>2549.09</v>
      </c>
      <c r="G11" s="25">
        <v>36.42</v>
      </c>
      <c r="H11" s="26">
        <v>5640</v>
      </c>
      <c r="I11" s="26">
        <f t="shared" si="0"/>
        <v>14376867.600000001</v>
      </c>
      <c r="J11" s="27">
        <f>'ИБР 2025'!G11*'ИБР 2025'!H11/'ИБР 2025'!$H$16</f>
        <v>1.8535521887041033</v>
      </c>
      <c r="K11" s="28">
        <f t="shared" si="1"/>
        <v>1.2026018099547513</v>
      </c>
      <c r="L11" s="28">
        <f t="shared" si="12"/>
        <v>1.6153846153846154</v>
      </c>
      <c r="M11" s="28">
        <f t="shared" si="13"/>
        <v>1</v>
      </c>
      <c r="N11" s="28">
        <f t="shared" si="2"/>
        <v>1.0024134753722054</v>
      </c>
      <c r="O11" s="17">
        <f t="shared" si="3"/>
        <v>2126.2000000000003</v>
      </c>
      <c r="P11" s="17">
        <f t="shared" si="14"/>
        <v>2856</v>
      </c>
      <c r="Q11" s="17">
        <f t="shared" si="4"/>
        <v>1768</v>
      </c>
      <c r="R11" s="17">
        <f t="shared" si="5"/>
        <v>2131.3315313363833</v>
      </c>
      <c r="S11" s="17">
        <f t="shared" si="6"/>
        <v>2856</v>
      </c>
      <c r="T11" s="28">
        <f t="shared" si="7"/>
        <v>1.2026018099547513</v>
      </c>
      <c r="U11" s="28">
        <f t="shared" si="8"/>
        <v>0.9483360402392791</v>
      </c>
      <c r="V11" s="28">
        <f t="shared" si="9"/>
        <v>0.7095476583728489</v>
      </c>
      <c r="W11" s="28">
        <f t="shared" si="10"/>
        <v>1.2055042598056467</v>
      </c>
      <c r="X11" s="28">
        <f t="shared" si="11"/>
        <v>1.3365360720293622</v>
      </c>
      <c r="Y11" s="29">
        <f t="shared" si="15"/>
        <v>1.2558520296116629</v>
      </c>
    </row>
    <row r="12" spans="1:25" ht="11.25">
      <c r="A12" s="6">
        <v>7</v>
      </c>
      <c r="B12" s="7" t="s">
        <v>54</v>
      </c>
      <c r="C12" s="49">
        <v>870</v>
      </c>
      <c r="D12" s="8"/>
      <c r="E12" s="8">
        <v>135</v>
      </c>
      <c r="F12" s="25">
        <v>2549.09</v>
      </c>
      <c r="G12" s="25">
        <v>36.42</v>
      </c>
      <c r="H12" s="26">
        <v>6002.5</v>
      </c>
      <c r="I12" s="26">
        <f t="shared" si="0"/>
        <v>15300912.725000001</v>
      </c>
      <c r="J12" s="27">
        <f>'ИБР 2025'!G12*'ИБР 2025'!H12/'ИБР 2025'!$H$16</f>
        <v>1.9726856405490034</v>
      </c>
      <c r="K12" s="28">
        <f t="shared" si="1"/>
        <v>1.8245977011494254</v>
      </c>
      <c r="L12" s="28">
        <f t="shared" si="12"/>
        <v>1.1551724137931034</v>
      </c>
      <c r="M12" s="28">
        <f t="shared" si="13"/>
        <v>1</v>
      </c>
      <c r="N12" s="28">
        <f t="shared" si="2"/>
        <v>1.0024134753722054</v>
      </c>
      <c r="O12" s="17">
        <f t="shared" si="3"/>
        <v>1587.4</v>
      </c>
      <c r="P12" s="17">
        <f t="shared" si="14"/>
        <v>1005</v>
      </c>
      <c r="Q12" s="17">
        <f t="shared" si="4"/>
        <v>870</v>
      </c>
      <c r="R12" s="17">
        <f t="shared" si="5"/>
        <v>1591.231150805839</v>
      </c>
      <c r="S12" s="17">
        <f t="shared" si="6"/>
        <v>1005</v>
      </c>
      <c r="T12" s="28">
        <f t="shared" si="7"/>
        <v>1.8245977011494254</v>
      </c>
      <c r="U12" s="28">
        <f t="shared" si="8"/>
        <v>0.6781614869034582</v>
      </c>
      <c r="V12" s="28">
        <f t="shared" si="9"/>
        <v>0.7095476583728489</v>
      </c>
      <c r="W12" s="28">
        <f t="shared" si="10"/>
        <v>1.8290013227653321</v>
      </c>
      <c r="X12" s="28">
        <f t="shared" si="11"/>
        <v>0.9557659431342976</v>
      </c>
      <c r="Y12" s="29">
        <f t="shared" si="15"/>
        <v>1.487294583089093</v>
      </c>
    </row>
    <row r="13" spans="1:25" ht="11.25">
      <c r="A13" s="6">
        <v>8</v>
      </c>
      <c r="B13" s="7" t="s">
        <v>55</v>
      </c>
      <c r="C13" s="49">
        <v>1998</v>
      </c>
      <c r="D13" s="8"/>
      <c r="E13" s="8"/>
      <c r="F13" s="25">
        <v>2549.09</v>
      </c>
      <c r="G13" s="25">
        <v>36.42</v>
      </c>
      <c r="H13" s="26"/>
      <c r="I13" s="26"/>
      <c r="J13" s="27"/>
      <c r="K13" s="28">
        <f t="shared" si="1"/>
        <v>1.1332332332332333</v>
      </c>
      <c r="L13" s="28">
        <f t="shared" si="12"/>
        <v>1</v>
      </c>
      <c r="M13" s="28">
        <f t="shared" si="13"/>
        <v>1</v>
      </c>
      <c r="N13" s="28">
        <f t="shared" si="2"/>
        <v>1.0024134753722054</v>
      </c>
      <c r="O13" s="17">
        <f t="shared" si="3"/>
        <v>2264.2000000000003</v>
      </c>
      <c r="P13" s="17">
        <f t="shared" si="14"/>
        <v>1998</v>
      </c>
      <c r="Q13" s="17">
        <f t="shared" si="4"/>
        <v>1998</v>
      </c>
      <c r="R13" s="17">
        <f t="shared" si="5"/>
        <v>2269.6645909377476</v>
      </c>
      <c r="S13" s="17">
        <f t="shared" si="6"/>
        <v>1998</v>
      </c>
      <c r="T13" s="28">
        <f t="shared" si="7"/>
        <v>1.1332332332332333</v>
      </c>
      <c r="U13" s="28">
        <f t="shared" si="8"/>
        <v>0.5870651677671728</v>
      </c>
      <c r="V13" s="28">
        <f t="shared" si="9"/>
        <v>0.7095476583728489</v>
      </c>
      <c r="W13" s="28">
        <f t="shared" si="10"/>
        <v>1.1359682637326063</v>
      </c>
      <c r="X13" s="28">
        <f t="shared" si="11"/>
        <v>0.8273794731610338</v>
      </c>
      <c r="Y13" s="29">
        <f t="shared" si="15"/>
        <v>1.014907527479856</v>
      </c>
    </row>
    <row r="14" spans="1:25" ht="11.25">
      <c r="A14" s="6">
        <v>9</v>
      </c>
      <c r="B14" s="7" t="s">
        <v>56</v>
      </c>
      <c r="C14" s="49">
        <v>727</v>
      </c>
      <c r="D14" s="8"/>
      <c r="E14" s="8">
        <v>727</v>
      </c>
      <c r="F14" s="25">
        <v>2549.09</v>
      </c>
      <c r="G14" s="25">
        <v>36.42</v>
      </c>
      <c r="H14" s="26">
        <v>14166.2</v>
      </c>
      <c r="I14" s="26">
        <f>F14*H14</f>
        <v>36110918.758</v>
      </c>
      <c r="J14" s="27">
        <f>'ИБР 2025'!G14*'ИБР 2025'!H14/'ИБР 2025'!$H$16</f>
        <v>4.655636704897176</v>
      </c>
      <c r="K14" s="28">
        <f t="shared" si="1"/>
        <v>2.065474552957359</v>
      </c>
      <c r="L14" s="28">
        <f t="shared" si="12"/>
        <v>2</v>
      </c>
      <c r="M14" s="28">
        <f t="shared" si="13"/>
        <v>1</v>
      </c>
      <c r="N14" s="28">
        <f t="shared" si="2"/>
        <v>1.0024134753722054</v>
      </c>
      <c r="O14" s="17">
        <f t="shared" si="3"/>
        <v>1501.6000000000001</v>
      </c>
      <c r="P14" s="17">
        <f t="shared" si="14"/>
        <v>1454</v>
      </c>
      <c r="Q14" s="17">
        <f t="shared" si="4"/>
        <v>727</v>
      </c>
      <c r="R14" s="17">
        <f t="shared" si="5"/>
        <v>1505.2240746189038</v>
      </c>
      <c r="S14" s="17">
        <f t="shared" si="6"/>
        <v>1454</v>
      </c>
      <c r="T14" s="28">
        <f t="shared" si="7"/>
        <v>2.065474552957359</v>
      </c>
      <c r="U14" s="28">
        <f t="shared" si="8"/>
        <v>1.1741303355343455</v>
      </c>
      <c r="V14" s="28">
        <f t="shared" si="9"/>
        <v>0.7095476583728489</v>
      </c>
      <c r="W14" s="28">
        <f t="shared" si="10"/>
        <v>2.070459524922839</v>
      </c>
      <c r="X14" s="28">
        <f t="shared" si="11"/>
        <v>1.6547589463220675</v>
      </c>
      <c r="Y14" s="29">
        <f t="shared" si="15"/>
        <v>1.9070402065575132</v>
      </c>
    </row>
    <row r="15" spans="1:25" ht="11.25">
      <c r="A15" s="6">
        <v>10</v>
      </c>
      <c r="B15" s="7" t="s">
        <v>57</v>
      </c>
      <c r="C15" s="49">
        <v>1949</v>
      </c>
      <c r="D15" s="8"/>
      <c r="E15" s="8">
        <v>441</v>
      </c>
      <c r="F15" s="25">
        <v>2549.09</v>
      </c>
      <c r="G15" s="25">
        <v>36.42</v>
      </c>
      <c r="H15" s="26">
        <v>12853.2</v>
      </c>
      <c r="I15" s="26">
        <f>F15*H15</f>
        <v>32763963.588000003</v>
      </c>
      <c r="J15" s="27">
        <f>'ИБР 2025'!G15*'ИБР 2025'!H15/'ИБР 2025'!$H$16</f>
        <v>4.224127126214819</v>
      </c>
      <c r="K15" s="28">
        <f t="shared" si="1"/>
        <v>1.1466393022062595</v>
      </c>
      <c r="L15" s="28">
        <f t="shared" si="12"/>
        <v>1.2262698819907645</v>
      </c>
      <c r="M15" s="28">
        <f t="shared" si="13"/>
        <v>1</v>
      </c>
      <c r="N15" s="28">
        <f t="shared" si="2"/>
        <v>1.0024134753722054</v>
      </c>
      <c r="O15" s="17">
        <f t="shared" si="3"/>
        <v>2234.7999999999997</v>
      </c>
      <c r="P15" s="17">
        <f t="shared" si="14"/>
        <v>2390</v>
      </c>
      <c r="Q15" s="17">
        <f t="shared" si="4"/>
        <v>1949</v>
      </c>
      <c r="R15" s="17">
        <f t="shared" si="5"/>
        <v>2240.1936347618043</v>
      </c>
      <c r="S15" s="17">
        <f t="shared" si="6"/>
        <v>2390</v>
      </c>
      <c r="T15" s="28">
        <f t="shared" si="7"/>
        <v>1.1466393022062595</v>
      </c>
      <c r="U15" s="28">
        <f t="shared" si="8"/>
        <v>0.7199003339987393</v>
      </c>
      <c r="V15" s="28">
        <f t="shared" si="9"/>
        <v>0.7095476583728489</v>
      </c>
      <c r="W15" s="28">
        <f t="shared" si="10"/>
        <v>1.149406687922937</v>
      </c>
      <c r="X15" s="28">
        <f t="shared" si="11"/>
        <v>1.0145905289147616</v>
      </c>
      <c r="Y15" s="29">
        <f t="shared" si="15"/>
        <v>1.0961088656234126</v>
      </c>
    </row>
    <row r="16" spans="1:25" ht="12.75">
      <c r="A16" s="12"/>
      <c r="B16" s="13" t="s">
        <v>11</v>
      </c>
      <c r="C16" s="13">
        <f>SUM(C6:C15)</f>
        <v>26635</v>
      </c>
      <c r="D16" s="30">
        <f>SUM(D6:D15)</f>
        <v>10903</v>
      </c>
      <c r="E16" s="30">
        <f>SUM(E6:E15)</f>
        <v>5557</v>
      </c>
      <c r="F16" s="25">
        <v>2474.44</v>
      </c>
      <c r="G16" s="25">
        <v>36.42</v>
      </c>
      <c r="H16" s="31">
        <f>SUM(H6:H15)</f>
        <v>110819</v>
      </c>
      <c r="I16" s="31">
        <f>SUM(I6:I15)</f>
        <v>282487604.71</v>
      </c>
      <c r="J16" s="32">
        <f>SUM(J6:J15)</f>
        <v>36.42</v>
      </c>
      <c r="K16" s="29">
        <f>IF(C16&lt;&gt;0,0.6+0.4*($C$16/COUNT($A$6:$A$15))/(C16/COUNT($A$6:$A$15)),0)</f>
        <v>1</v>
      </c>
      <c r="L16" s="29">
        <f>IF(C16&lt;&gt;0,1+E16/C16,0)</f>
        <v>1.208635254364558</v>
      </c>
      <c r="M16" s="29">
        <f>IF(C16&lt;&gt;0,1+D16/C16,0)</f>
        <v>1.409348601464239</v>
      </c>
      <c r="N16" s="29">
        <f t="shared" si="2"/>
        <v>1</v>
      </c>
      <c r="O16" s="33">
        <f t="shared" si="3"/>
        <v>26635</v>
      </c>
      <c r="P16" s="33">
        <f t="shared" si="14"/>
        <v>45369.750178336784</v>
      </c>
      <c r="Q16" s="33">
        <f t="shared" si="4"/>
        <v>37538</v>
      </c>
      <c r="R16" s="33">
        <f t="shared" si="5"/>
        <v>26635</v>
      </c>
      <c r="S16" s="33">
        <f t="shared" si="6"/>
        <v>32192.000000000004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6" sqref="L26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7" t="s">
        <v>72</v>
      </c>
      <c r="D1" s="67"/>
      <c r="E1" s="67"/>
      <c r="F1" s="67"/>
      <c r="G1" s="67"/>
      <c r="H1" s="67"/>
      <c r="I1" s="67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70" t="s">
        <v>0</v>
      </c>
      <c r="B3" s="70" t="s">
        <v>1</v>
      </c>
      <c r="C3" s="69" t="s">
        <v>2</v>
      </c>
      <c r="D3" s="70" t="s">
        <v>3</v>
      </c>
      <c r="E3" s="70"/>
      <c r="F3" s="70"/>
      <c r="G3" s="70"/>
      <c r="H3" s="70" t="s">
        <v>4</v>
      </c>
      <c r="I3" s="70"/>
      <c r="J3" s="70"/>
      <c r="K3" s="70"/>
      <c r="L3" s="70" t="s">
        <v>5</v>
      </c>
      <c r="M3" s="70"/>
      <c r="N3" s="70"/>
      <c r="O3" s="70"/>
      <c r="P3" s="70" t="s">
        <v>6</v>
      </c>
      <c r="Q3" s="70"/>
      <c r="R3" s="70"/>
      <c r="S3" s="70"/>
      <c r="T3" s="68" t="s">
        <v>7</v>
      </c>
      <c r="U3" s="68" t="s">
        <v>44</v>
      </c>
      <c r="V3" s="68" t="s">
        <v>45</v>
      </c>
      <c r="W3" s="68" t="s">
        <v>46</v>
      </c>
      <c r="X3" s="68" t="s">
        <v>47</v>
      </c>
    </row>
    <row r="4" spans="1:24" ht="90" customHeight="1">
      <c r="A4" s="70"/>
      <c r="B4" s="70"/>
      <c r="C4" s="69"/>
      <c r="D4" s="3" t="s">
        <v>8</v>
      </c>
      <c r="E4" s="46" t="s">
        <v>64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65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65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66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0,030005, контингент</v>
      </c>
      <c r="T4" s="68"/>
      <c r="U4" s="68"/>
      <c r="V4" s="68"/>
      <c r="W4" s="68"/>
      <c r="X4" s="68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9104</v>
      </c>
      <c r="D6" s="9">
        <v>1020031.6</v>
      </c>
      <c r="E6" s="9"/>
      <c r="F6" s="10" t="s">
        <v>10</v>
      </c>
      <c r="G6" s="11">
        <f aca="true" t="shared" si="0" ref="G6:G15">D6*$F$16*0.1</f>
        <v>13260.411599118159</v>
      </c>
      <c r="H6" s="9">
        <v>923000</v>
      </c>
      <c r="I6" s="9">
        <v>2769</v>
      </c>
      <c r="J6" s="10" t="s">
        <v>10</v>
      </c>
      <c r="K6" s="11">
        <f aca="true" t="shared" si="1" ref="K6:K15">H6*$J$16</f>
        <v>2769.000110693588</v>
      </c>
      <c r="L6" s="9">
        <v>1408000</v>
      </c>
      <c r="M6" s="9">
        <v>4224</v>
      </c>
      <c r="N6" s="10" t="s">
        <v>10</v>
      </c>
      <c r="O6" s="11">
        <f aca="true" t="shared" si="2" ref="O6:O15">L6*$N$16</f>
        <v>4224.000069143887</v>
      </c>
      <c r="P6" s="9">
        <v>14073.3</v>
      </c>
      <c r="Q6" s="9">
        <v>422.2</v>
      </c>
      <c r="R6" s="10" t="s">
        <v>10</v>
      </c>
      <c r="S6" s="11">
        <f aca="true" t="shared" si="3" ref="S6:S15">P6*$R$16</f>
        <v>422.2631097603295</v>
      </c>
      <c r="T6" s="11">
        <f aca="true" t="shared" si="4" ref="T6:T16">S6+O6+K6+G6</f>
        <v>20675.674888715963</v>
      </c>
      <c r="U6" s="45">
        <v>585.4</v>
      </c>
      <c r="V6" s="11">
        <f>T6+U6</f>
        <v>21261.074888715964</v>
      </c>
      <c r="W6" s="11">
        <f>IF(C6&lt;&gt;0,V6/C6,0)</f>
        <v>2.3353553260891875</v>
      </c>
      <c r="X6" s="36">
        <f aca="true" t="shared" si="5" ref="X6:X16">IF($W$16&lt;&gt;0,W6/$W$16,0)</f>
        <v>0.9910635204808418</v>
      </c>
    </row>
    <row r="7" spans="1:24" ht="12.75">
      <c r="A7" s="6">
        <v>2</v>
      </c>
      <c r="B7" s="7" t="s">
        <v>49</v>
      </c>
      <c r="C7" s="49">
        <v>5060</v>
      </c>
      <c r="D7" s="9">
        <v>320400</v>
      </c>
      <c r="E7" s="9"/>
      <c r="F7" s="10" t="s">
        <v>10</v>
      </c>
      <c r="G7" s="11">
        <f t="shared" si="0"/>
        <v>4165.20025100934</v>
      </c>
      <c r="H7" s="9">
        <v>179333.3</v>
      </c>
      <c r="I7" s="9">
        <v>538</v>
      </c>
      <c r="J7" s="10" t="s">
        <v>10</v>
      </c>
      <c r="K7" s="11">
        <f t="shared" si="1"/>
        <v>537.9999215070925</v>
      </c>
      <c r="L7" s="9">
        <v>906333.3</v>
      </c>
      <c r="M7" s="9">
        <v>2719</v>
      </c>
      <c r="N7" s="10" t="s">
        <v>10</v>
      </c>
      <c r="O7" s="11">
        <f t="shared" si="2"/>
        <v>2718.999944508102</v>
      </c>
      <c r="P7" s="9">
        <v>55666.7</v>
      </c>
      <c r="Q7" s="9">
        <v>1670</v>
      </c>
      <c r="R7" s="10" t="s">
        <v>10</v>
      </c>
      <c r="S7" s="11">
        <f t="shared" si="3"/>
        <v>1670.2545850721106</v>
      </c>
      <c r="T7" s="11">
        <f t="shared" si="4"/>
        <v>9092.454702096646</v>
      </c>
      <c r="U7" s="45">
        <v>325.4</v>
      </c>
      <c r="V7" s="11">
        <f aca="true" t="shared" si="6" ref="V7:V15">T7+U7</f>
        <v>9417.854702096645</v>
      </c>
      <c r="W7" s="11">
        <f aca="true" t="shared" si="7" ref="W7:W16">IF(C7&lt;&gt;0,V7/C7,0)</f>
        <v>1.8612361071337244</v>
      </c>
      <c r="X7" s="36">
        <f t="shared" si="5"/>
        <v>0.7898597648825456</v>
      </c>
    </row>
    <row r="8" spans="1:24" ht="12.75">
      <c r="A8" s="6">
        <v>3</v>
      </c>
      <c r="B8" s="7" t="s">
        <v>50</v>
      </c>
      <c r="C8" s="49">
        <v>2481</v>
      </c>
      <c r="D8" s="9">
        <v>220300</v>
      </c>
      <c r="E8" s="9"/>
      <c r="F8" s="10" t="s">
        <v>10</v>
      </c>
      <c r="G8" s="11">
        <f t="shared" si="0"/>
        <v>2863.9001725885064</v>
      </c>
      <c r="H8" s="9">
        <v>151333.3</v>
      </c>
      <c r="I8" s="9">
        <v>454</v>
      </c>
      <c r="J8" s="10" t="s">
        <v>10</v>
      </c>
      <c r="K8" s="11">
        <f t="shared" si="1"/>
        <v>453.99991814910715</v>
      </c>
      <c r="L8" s="9">
        <v>948333.3</v>
      </c>
      <c r="M8" s="9">
        <v>2845</v>
      </c>
      <c r="N8" s="10" t="s">
        <v>10</v>
      </c>
      <c r="O8" s="11">
        <f t="shared" si="2"/>
        <v>2844.999946570633</v>
      </c>
      <c r="P8" s="9">
        <v>43333.3</v>
      </c>
      <c r="Q8" s="9">
        <v>1300</v>
      </c>
      <c r="R8" s="10" t="s">
        <v>10</v>
      </c>
      <c r="S8" s="11">
        <f t="shared" si="3"/>
        <v>1300.1964012830883</v>
      </c>
      <c r="T8" s="11">
        <f t="shared" si="4"/>
        <v>7463.096438591335</v>
      </c>
      <c r="U8" s="45">
        <v>159.5</v>
      </c>
      <c r="V8" s="11">
        <f t="shared" si="6"/>
        <v>7622.596438591335</v>
      </c>
      <c r="W8" s="11">
        <f t="shared" si="7"/>
        <v>3.072388729782884</v>
      </c>
      <c r="X8" s="36">
        <f t="shared" si="5"/>
        <v>1.3038411571927109</v>
      </c>
    </row>
    <row r="9" spans="1:24" ht="12.75">
      <c r="A9" s="6">
        <v>4</v>
      </c>
      <c r="B9" s="7" t="s">
        <v>51</v>
      </c>
      <c r="C9" s="49">
        <v>722</v>
      </c>
      <c r="D9" s="9">
        <v>58821.5</v>
      </c>
      <c r="E9" s="9"/>
      <c r="F9" s="10" t="s">
        <v>10</v>
      </c>
      <c r="G9" s="11">
        <f t="shared" si="0"/>
        <v>764.679546082228</v>
      </c>
      <c r="H9" s="9">
        <v>23666.6</v>
      </c>
      <c r="I9" s="9">
        <v>71</v>
      </c>
      <c r="J9" s="10" t="s">
        <v>10</v>
      </c>
      <c r="K9" s="11">
        <f t="shared" si="1"/>
        <v>70.99980283828913</v>
      </c>
      <c r="L9" s="9">
        <v>272666.7</v>
      </c>
      <c r="M9" s="9">
        <v>818</v>
      </c>
      <c r="N9" s="10" t="s">
        <v>10</v>
      </c>
      <c r="O9" s="11">
        <f t="shared" si="2"/>
        <v>818.0001133900821</v>
      </c>
      <c r="P9" s="9">
        <v>33200</v>
      </c>
      <c r="Q9" s="9">
        <v>996</v>
      </c>
      <c r="R9" s="10" t="s">
        <v>10</v>
      </c>
      <c r="S9" s="11">
        <f t="shared" si="3"/>
        <v>996.1512398686122</v>
      </c>
      <c r="T9" s="11">
        <f t="shared" si="4"/>
        <v>2649.830702179211</v>
      </c>
      <c r="U9" s="45">
        <v>46.4</v>
      </c>
      <c r="V9" s="11">
        <f t="shared" si="6"/>
        <v>2696.230702179211</v>
      </c>
      <c r="W9" s="11">
        <f t="shared" si="7"/>
        <v>3.7343915542648354</v>
      </c>
      <c r="X9" s="36">
        <f t="shared" si="5"/>
        <v>1.5847777848955427</v>
      </c>
    </row>
    <row r="10" spans="1:24" ht="12.75">
      <c r="A10" s="6">
        <v>5</v>
      </c>
      <c r="B10" s="7" t="s">
        <v>52</v>
      </c>
      <c r="C10" s="49">
        <v>1956</v>
      </c>
      <c r="D10" s="9">
        <v>75010</v>
      </c>
      <c r="E10" s="9"/>
      <c r="F10" s="10" t="s">
        <v>10</v>
      </c>
      <c r="G10" s="11">
        <f t="shared" si="0"/>
        <v>975.130058764702</v>
      </c>
      <c r="H10" s="9">
        <v>74666.7</v>
      </c>
      <c r="I10" s="9">
        <v>224</v>
      </c>
      <c r="J10" s="10" t="s">
        <v>10</v>
      </c>
      <c r="K10" s="11">
        <f t="shared" si="1"/>
        <v>224.00010895463154</v>
      </c>
      <c r="L10" s="9">
        <v>731666.7</v>
      </c>
      <c r="M10" s="9">
        <v>2195</v>
      </c>
      <c r="N10" s="10" t="s">
        <v>10</v>
      </c>
      <c r="O10" s="11">
        <f t="shared" si="2"/>
        <v>2195.0001359305966</v>
      </c>
      <c r="P10" s="9">
        <v>2566.7</v>
      </c>
      <c r="Q10" s="9">
        <v>77</v>
      </c>
      <c r="R10" s="10" t="s">
        <v>10</v>
      </c>
      <c r="S10" s="11">
        <f t="shared" si="3"/>
        <v>77.01269239068574</v>
      </c>
      <c r="T10" s="11">
        <f t="shared" si="4"/>
        <v>3471.1429960406163</v>
      </c>
      <c r="U10" s="45">
        <v>125.8</v>
      </c>
      <c r="V10" s="11">
        <f t="shared" si="6"/>
        <v>3596.9429960406164</v>
      </c>
      <c r="W10" s="11">
        <f t="shared" si="7"/>
        <v>1.8389279120862048</v>
      </c>
      <c r="X10" s="36">
        <f t="shared" si="5"/>
        <v>0.7803927522732088</v>
      </c>
    </row>
    <row r="11" spans="1:24" ht="12.75">
      <c r="A11" s="6">
        <v>6</v>
      </c>
      <c r="B11" s="7" t="s">
        <v>53</v>
      </c>
      <c r="C11" s="49">
        <v>1768</v>
      </c>
      <c r="D11" s="9">
        <v>144039.3</v>
      </c>
      <c r="E11" s="9"/>
      <c r="F11" s="10" t="s">
        <v>10</v>
      </c>
      <c r="G11" s="11">
        <f t="shared" si="0"/>
        <v>1872.5110128439746</v>
      </c>
      <c r="H11" s="9">
        <v>68000</v>
      </c>
      <c r="I11" s="9">
        <v>204</v>
      </c>
      <c r="J11" s="10" t="s">
        <v>10</v>
      </c>
      <c r="K11" s="11">
        <f t="shared" si="1"/>
        <v>204.00000815510722</v>
      </c>
      <c r="L11" s="9">
        <v>528333.3</v>
      </c>
      <c r="M11" s="9">
        <v>1585</v>
      </c>
      <c r="N11" s="10" t="s">
        <v>10</v>
      </c>
      <c r="O11" s="11">
        <f t="shared" si="2"/>
        <v>1584.9999259453255</v>
      </c>
      <c r="P11" s="9">
        <v>131666.7</v>
      </c>
      <c r="Q11" s="9">
        <v>3950</v>
      </c>
      <c r="R11" s="10" t="s">
        <v>10</v>
      </c>
      <c r="S11" s="11">
        <f t="shared" si="3"/>
        <v>3950.6007968195363</v>
      </c>
      <c r="T11" s="11">
        <f t="shared" si="4"/>
        <v>7612.111743763943</v>
      </c>
      <c r="U11" s="45">
        <v>113.7</v>
      </c>
      <c r="V11" s="11">
        <f t="shared" si="6"/>
        <v>7725.811743763943</v>
      </c>
      <c r="W11" s="11">
        <f t="shared" si="7"/>
        <v>4.369803022490918</v>
      </c>
      <c r="X11" s="36">
        <f t="shared" si="5"/>
        <v>1.8544297387627084</v>
      </c>
    </row>
    <row r="12" spans="1:24" ht="12.75">
      <c r="A12" s="6">
        <v>7</v>
      </c>
      <c r="B12" s="7" t="s">
        <v>54</v>
      </c>
      <c r="C12" s="49">
        <v>870</v>
      </c>
      <c r="D12" s="9">
        <v>70879.2</v>
      </c>
      <c r="E12" s="9"/>
      <c r="F12" s="10" t="s">
        <v>10</v>
      </c>
      <c r="G12" s="11">
        <f t="shared" si="0"/>
        <v>921.4296555285305</v>
      </c>
      <c r="H12" s="9">
        <v>43000</v>
      </c>
      <c r="I12" s="9">
        <v>129</v>
      </c>
      <c r="J12" s="10" t="s">
        <v>10</v>
      </c>
      <c r="K12" s="11">
        <f t="shared" si="1"/>
        <v>129.00000515690604</v>
      </c>
      <c r="L12" s="9">
        <v>364000</v>
      </c>
      <c r="M12" s="9">
        <v>1092</v>
      </c>
      <c r="N12" s="10" t="s">
        <v>10</v>
      </c>
      <c r="O12" s="11">
        <f t="shared" si="2"/>
        <v>1092.0000178752664</v>
      </c>
      <c r="P12" s="9">
        <v>5.3</v>
      </c>
      <c r="Q12" s="9">
        <v>1.6</v>
      </c>
      <c r="R12" s="10" t="s">
        <v>10</v>
      </c>
      <c r="S12" s="11">
        <f t="shared" si="3"/>
        <v>0.15902414371396517</v>
      </c>
      <c r="T12" s="11">
        <f t="shared" si="4"/>
        <v>2142.5887027044173</v>
      </c>
      <c r="U12" s="45">
        <v>55.9</v>
      </c>
      <c r="V12" s="11">
        <f t="shared" si="6"/>
        <v>2198.4887027044174</v>
      </c>
      <c r="W12" s="11">
        <f t="shared" si="7"/>
        <v>2.526998508855652</v>
      </c>
      <c r="X12" s="36">
        <f t="shared" si="5"/>
        <v>1.0723918585144145</v>
      </c>
    </row>
    <row r="13" spans="1:24" ht="12.75">
      <c r="A13" s="6">
        <v>8</v>
      </c>
      <c r="B13" s="7" t="s">
        <v>55</v>
      </c>
      <c r="C13" s="49">
        <v>1998</v>
      </c>
      <c r="D13" s="9">
        <v>162777.5</v>
      </c>
      <c r="E13" s="9"/>
      <c r="F13" s="10" t="s">
        <v>10</v>
      </c>
      <c r="G13" s="11">
        <f t="shared" si="0"/>
        <v>2116.1076275239475</v>
      </c>
      <c r="H13" s="9">
        <v>112333.3</v>
      </c>
      <c r="I13" s="9">
        <v>337</v>
      </c>
      <c r="J13" s="10" t="s">
        <v>10</v>
      </c>
      <c r="K13" s="11">
        <f t="shared" si="1"/>
        <v>336.9999134719134</v>
      </c>
      <c r="L13" s="9">
        <v>590333.3</v>
      </c>
      <c r="M13" s="9">
        <v>1771</v>
      </c>
      <c r="N13" s="10" t="s">
        <v>10</v>
      </c>
      <c r="O13" s="11">
        <f t="shared" si="2"/>
        <v>1770.9999289900138</v>
      </c>
      <c r="P13" s="9">
        <v>35000</v>
      </c>
      <c r="Q13" s="9">
        <v>1050</v>
      </c>
      <c r="R13" s="10" t="s">
        <v>10</v>
      </c>
      <c r="S13" s="11">
        <f t="shared" si="3"/>
        <v>1050.1594396205248</v>
      </c>
      <c r="T13" s="11">
        <f t="shared" si="4"/>
        <v>5274.2669096064</v>
      </c>
      <c r="U13" s="45">
        <v>128.5</v>
      </c>
      <c r="V13" s="11">
        <f t="shared" si="6"/>
        <v>5402.7669096064</v>
      </c>
      <c r="W13" s="11">
        <f t="shared" si="7"/>
        <v>2.7040875423455457</v>
      </c>
      <c r="X13" s="36">
        <f t="shared" si="5"/>
        <v>1.1475437974970568</v>
      </c>
    </row>
    <row r="14" spans="1:24" ht="12.75">
      <c r="A14" s="6">
        <v>9</v>
      </c>
      <c r="B14" s="7" t="s">
        <v>56</v>
      </c>
      <c r="C14" s="49">
        <v>727</v>
      </c>
      <c r="D14" s="9">
        <v>25400</v>
      </c>
      <c r="E14" s="9"/>
      <c r="F14" s="10" t="s">
        <v>10</v>
      </c>
      <c r="G14" s="11">
        <f t="shared" si="0"/>
        <v>330.2000198989926</v>
      </c>
      <c r="H14" s="9">
        <v>25666.7</v>
      </c>
      <c r="I14" s="9">
        <v>77</v>
      </c>
      <c r="J14" s="10" t="s">
        <v>10</v>
      </c>
      <c r="K14" s="11">
        <f t="shared" si="1"/>
        <v>77.00010307815722</v>
      </c>
      <c r="L14" s="9">
        <v>114333.3</v>
      </c>
      <c r="M14" s="9">
        <v>343</v>
      </c>
      <c r="N14" s="10" t="s">
        <v>10</v>
      </c>
      <c r="O14" s="11">
        <f t="shared" si="2"/>
        <v>342.99990561466535</v>
      </c>
      <c r="P14" s="9">
        <v>429.2</v>
      </c>
      <c r="Q14" s="9">
        <v>12.9</v>
      </c>
      <c r="R14" s="10" t="s">
        <v>10</v>
      </c>
      <c r="S14" s="11">
        <f t="shared" si="3"/>
        <v>12.877955185289407</v>
      </c>
      <c r="T14" s="11">
        <f t="shared" si="4"/>
        <v>763.0779837771046</v>
      </c>
      <c r="U14" s="45">
        <v>46.7</v>
      </c>
      <c r="V14" s="11">
        <f t="shared" si="6"/>
        <v>809.7779837771046</v>
      </c>
      <c r="W14" s="11">
        <f t="shared" si="7"/>
        <v>1.1138624261033077</v>
      </c>
      <c r="X14" s="36">
        <f t="shared" si="5"/>
        <v>0.47269398579868066</v>
      </c>
    </row>
    <row r="15" spans="1:24" ht="12.75">
      <c r="A15" s="6">
        <v>10</v>
      </c>
      <c r="B15" s="7" t="s">
        <v>57</v>
      </c>
      <c r="C15" s="49">
        <v>1949</v>
      </c>
      <c r="D15" s="9">
        <v>72300</v>
      </c>
      <c r="E15" s="9"/>
      <c r="F15" s="10" t="s">
        <v>10</v>
      </c>
      <c r="G15" s="11">
        <f t="shared" si="0"/>
        <v>939.9000566416206</v>
      </c>
      <c r="H15" s="9">
        <v>66666.7</v>
      </c>
      <c r="I15" s="9">
        <v>200</v>
      </c>
      <c r="J15" s="10" t="s">
        <v>10</v>
      </c>
      <c r="K15" s="11">
        <f t="shared" si="1"/>
        <v>200.00010799520717</v>
      </c>
      <c r="L15" s="9">
        <v>245000</v>
      </c>
      <c r="M15" s="9">
        <v>735</v>
      </c>
      <c r="N15" s="10" t="s">
        <v>10</v>
      </c>
      <c r="O15" s="11">
        <f t="shared" si="2"/>
        <v>735.0000120314293</v>
      </c>
      <c r="P15" s="9">
        <v>1044</v>
      </c>
      <c r="Q15" s="9">
        <v>31.3</v>
      </c>
      <c r="R15" s="10" t="s">
        <v>10</v>
      </c>
      <c r="S15" s="11">
        <f t="shared" si="3"/>
        <v>31.32475585610937</v>
      </c>
      <c r="T15" s="11">
        <f t="shared" si="4"/>
        <v>1906.2249325243665</v>
      </c>
      <c r="U15" s="45">
        <v>125.3</v>
      </c>
      <c r="V15" s="11">
        <f t="shared" si="6"/>
        <v>2031.5249325243665</v>
      </c>
      <c r="W15" s="11">
        <f t="shared" si="7"/>
        <v>1.0423421921623224</v>
      </c>
      <c r="X15" s="36">
        <f t="shared" si="5"/>
        <v>0.44234267521081194</v>
      </c>
    </row>
    <row r="16" spans="1:24" ht="12.75">
      <c r="A16" s="12"/>
      <c r="B16" s="13" t="s">
        <v>11</v>
      </c>
      <c r="C16" s="13">
        <f>SUM(C6:C15)</f>
        <v>26635</v>
      </c>
      <c r="D16" s="14">
        <f>SUM(D6:D15)</f>
        <v>2169959.1</v>
      </c>
      <c r="E16" s="14">
        <v>282094.7</v>
      </c>
      <c r="F16" s="13">
        <f>IF(D16&lt;&gt;0,E16/D16,0)</f>
        <v>0.13000000783424903</v>
      </c>
      <c r="G16" s="14">
        <f>SUM(G6:G15)</f>
        <v>28209.469999999998</v>
      </c>
      <c r="H16" s="14">
        <f>SUM(H6:H15)</f>
        <v>1667666.6</v>
      </c>
      <c r="I16" s="14">
        <f>SUM(I6:I15)</f>
        <v>5003</v>
      </c>
      <c r="J16" s="13">
        <f>IF(H16&lt;&gt;0,I16/H16,0)</f>
        <v>0.0030000001199280476</v>
      </c>
      <c r="K16" s="14">
        <f>SUM(K6:K15)</f>
        <v>5002.999999999999</v>
      </c>
      <c r="L16" s="14">
        <f>SUM(L6:L15)</f>
        <v>6108999.899999999</v>
      </c>
      <c r="M16" s="14">
        <f>SUM(M6:M15)</f>
        <v>18327</v>
      </c>
      <c r="N16" s="13">
        <f>IF(L16&lt;&gt;0,M16/L16,0)</f>
        <v>0.0030000000491078745</v>
      </c>
      <c r="O16" s="14">
        <f>SUM(O6:O15)</f>
        <v>18327.000000000004</v>
      </c>
      <c r="P16" s="14">
        <f>P6+P7+P8+P9+P10+P11+P12+P13++P14+P15</f>
        <v>316985.2</v>
      </c>
      <c r="Q16" s="14">
        <f>SUM(Q6:Q15)</f>
        <v>9511</v>
      </c>
      <c r="R16" s="13">
        <f>IF(P16&lt;&gt;0,Q16/P16,0)</f>
        <v>0.03000455541772928</v>
      </c>
      <c r="S16" s="14">
        <f>SUM(S6:S15)</f>
        <v>9510.999999999998</v>
      </c>
      <c r="T16" s="14">
        <f t="shared" si="4"/>
        <v>61050.47</v>
      </c>
      <c r="U16" s="14">
        <f>SUM(U6:U15)</f>
        <v>1712.6000000000001</v>
      </c>
      <c r="V16" s="14">
        <f>U16+T16</f>
        <v>62763.07</v>
      </c>
      <c r="W16" s="42">
        <f t="shared" si="7"/>
        <v>2.356413365871973</v>
      </c>
      <c r="X16" s="14">
        <f t="shared" si="5"/>
        <v>1</v>
      </c>
    </row>
  </sheetData>
  <sheetProtection/>
  <mergeCells count="13">
    <mergeCell ref="X3:X4"/>
    <mergeCell ref="L3:O3"/>
    <mergeCell ref="P3:S3"/>
    <mergeCell ref="T3:T4"/>
    <mergeCell ref="U3:U4"/>
    <mergeCell ref="V3:V4"/>
    <mergeCell ref="W3:W4"/>
    <mergeCell ref="C1:K1"/>
    <mergeCell ref="A3:A4"/>
    <mergeCell ref="B3:B4"/>
    <mergeCell ref="C3:C4"/>
    <mergeCell ref="D3:G3"/>
    <mergeCell ref="H3:K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1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1" sqref="L11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4" width="9.00390625" style="1" customWidth="1"/>
    <col min="15" max="16384" width="8.00390625" style="1" customWidth="1"/>
  </cols>
  <sheetData>
    <row r="1" spans="3:8" ht="27" customHeight="1">
      <c r="C1" s="67" t="s">
        <v>73</v>
      </c>
      <c r="D1" s="67"/>
      <c r="E1" s="67"/>
      <c r="F1" s="67"/>
      <c r="G1" s="67"/>
      <c r="H1" s="67"/>
    </row>
    <row r="2" ht="12"/>
    <row r="3" spans="1:12" ht="30.75" customHeight="1">
      <c r="A3" s="70" t="s">
        <v>0</v>
      </c>
      <c r="B3" s="70" t="s">
        <v>1</v>
      </c>
      <c r="C3" s="69" t="s">
        <v>2</v>
      </c>
      <c r="D3" s="68" t="s">
        <v>47</v>
      </c>
      <c r="E3" s="60" t="s">
        <v>18</v>
      </c>
      <c r="F3" s="60" t="s">
        <v>14</v>
      </c>
      <c r="G3" s="60" t="s">
        <v>15</v>
      </c>
      <c r="H3" s="60" t="s">
        <v>17</v>
      </c>
      <c r="I3" s="62" t="s">
        <v>42</v>
      </c>
      <c r="J3" s="62" t="s">
        <v>40</v>
      </c>
      <c r="K3" s="60" t="s">
        <v>43</v>
      </c>
      <c r="L3" s="62" t="s">
        <v>41</v>
      </c>
    </row>
    <row r="4" spans="1:14" ht="90" customHeight="1">
      <c r="A4" s="70"/>
      <c r="B4" s="70"/>
      <c r="C4" s="69"/>
      <c r="D4" s="68"/>
      <c r="E4" s="61"/>
      <c r="F4" s="61"/>
      <c r="G4" s="61"/>
      <c r="H4" s="61"/>
      <c r="I4" s="62"/>
      <c r="J4" s="62"/>
      <c r="K4" s="61"/>
      <c r="L4" s="62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0.6</v>
      </c>
      <c r="H5" s="16">
        <v>3020.5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9104</v>
      </c>
      <c r="D6" s="28">
        <f>'ИНП 2023'!X6</f>
        <v>1.0547240704656269</v>
      </c>
      <c r="E6" s="28">
        <f>'ИБР 2023'!Y6</f>
        <v>0.7606692225190881</v>
      </c>
      <c r="F6" s="36">
        <f>IF(E6&lt;&gt;0,D6/E6,0)</f>
        <v>1.3865738736907551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25027.4+M6</f>
        <v>25612.800000000003</v>
      </c>
      <c r="J6" s="40">
        <f>I6+H6</f>
        <v>25612.800000000003</v>
      </c>
      <c r="K6" s="41">
        <v>25612.8</v>
      </c>
      <c r="L6" s="40">
        <f>J6-K6</f>
        <v>0</v>
      </c>
      <c r="M6" s="45">
        <v>585.4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5060</v>
      </c>
      <c r="D7" s="28">
        <f>'ИНП 2023'!X7</f>
        <v>0.8551118302393731</v>
      </c>
      <c r="E7" s="28">
        <f>'ИБР 2023'!Y7</f>
        <v>0.8934318722557186</v>
      </c>
      <c r="F7" s="36">
        <f aca="true" t="shared" si="2" ref="F7:F16">IF(E7&lt;&gt;0,D7/E7,0)</f>
        <v>0.9571091616425147</v>
      </c>
      <c r="G7" s="17">
        <f t="shared" si="0"/>
        <v>0</v>
      </c>
      <c r="H7" s="17">
        <f t="shared" si="1"/>
        <v>0</v>
      </c>
      <c r="I7" s="47">
        <f>13705.6+M7</f>
        <v>14031</v>
      </c>
      <c r="J7" s="40">
        <f aca="true" t="shared" si="3" ref="J7:J16">I7+H7</f>
        <v>14031</v>
      </c>
      <c r="K7" s="41">
        <v>14031</v>
      </c>
      <c r="L7" s="40">
        <f aca="true" t="shared" si="4" ref="L7:L16">J7-K7</f>
        <v>0</v>
      </c>
      <c r="M7" s="45">
        <v>325.4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2481</v>
      </c>
      <c r="D8" s="28">
        <f>'ИНП 2023'!X8</f>
        <v>1.284693931705504</v>
      </c>
      <c r="E8" s="28">
        <f>'ИБР 2023'!Y8</f>
        <v>0.9602099700543316</v>
      </c>
      <c r="F8" s="36">
        <f t="shared" si="2"/>
        <v>1.337930215026628</v>
      </c>
      <c r="G8" s="17">
        <f t="shared" si="0"/>
        <v>0</v>
      </c>
      <c r="H8" s="17">
        <f t="shared" si="1"/>
        <v>0</v>
      </c>
      <c r="I8" s="47">
        <f>9533.5+M8</f>
        <v>9693</v>
      </c>
      <c r="J8" s="40">
        <f t="shared" si="3"/>
        <v>9693</v>
      </c>
      <c r="K8" s="41">
        <v>9693</v>
      </c>
      <c r="L8" s="40">
        <f t="shared" si="4"/>
        <v>0</v>
      </c>
      <c r="M8" s="45">
        <v>159.5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722</v>
      </c>
      <c r="D9" s="28">
        <f>'ИНП 2023'!X9</f>
        <v>1.7013042101467808</v>
      </c>
      <c r="E9" s="28">
        <f>'ИБР 2023'!Y9</f>
        <v>1.9132394959457661</v>
      </c>
      <c r="F9" s="36">
        <f t="shared" si="2"/>
        <v>0.8892269962813935</v>
      </c>
      <c r="G9" s="17">
        <f t="shared" si="0"/>
        <v>0</v>
      </c>
      <c r="H9" s="17">
        <f t="shared" si="1"/>
        <v>0</v>
      </c>
      <c r="I9" s="47">
        <f>3746+M9</f>
        <v>3792.4</v>
      </c>
      <c r="J9" s="40">
        <f t="shared" si="3"/>
        <v>3792.4</v>
      </c>
      <c r="K9" s="41">
        <v>3792.4</v>
      </c>
      <c r="L9" s="40">
        <f t="shared" si="4"/>
        <v>0</v>
      </c>
      <c r="M9" s="45">
        <v>46.4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1956</v>
      </c>
      <c r="D10" s="28">
        <f>'ИНП 2023'!X10</f>
        <v>0.8226204867926215</v>
      </c>
      <c r="E10" s="28">
        <f>'ИБР 2023'!Y10</f>
        <v>1.2183788183896525</v>
      </c>
      <c r="F10" s="36">
        <f t="shared" si="2"/>
        <v>0.6751762870269609</v>
      </c>
      <c r="G10" s="17">
        <f t="shared" si="0"/>
        <v>0</v>
      </c>
      <c r="H10" s="17">
        <f t="shared" si="1"/>
        <v>0</v>
      </c>
      <c r="I10" s="47">
        <f>5778.6+M10</f>
        <v>5904.400000000001</v>
      </c>
      <c r="J10" s="40">
        <f t="shared" si="3"/>
        <v>5904.400000000001</v>
      </c>
      <c r="K10" s="41">
        <v>5904.4</v>
      </c>
      <c r="L10" s="40">
        <f t="shared" si="4"/>
        <v>0</v>
      </c>
      <c r="M10" s="45">
        <v>125.8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1768</v>
      </c>
      <c r="D11" s="28">
        <f>'ИНП 2023'!X11</f>
        <v>1.6061417918813417</v>
      </c>
      <c r="E11" s="28">
        <f>'ИБР 2023'!Y11</f>
        <v>1.2558520296116629</v>
      </c>
      <c r="F11" s="36">
        <f t="shared" si="2"/>
        <v>1.2789259833246407</v>
      </c>
      <c r="G11" s="17">
        <f t="shared" si="0"/>
        <v>0</v>
      </c>
      <c r="H11" s="17">
        <f t="shared" si="1"/>
        <v>0</v>
      </c>
      <c r="I11" s="47">
        <f>9439.5+M11</f>
        <v>9553.2</v>
      </c>
      <c r="J11" s="40">
        <f t="shared" si="3"/>
        <v>9553.2</v>
      </c>
      <c r="K11" s="41">
        <v>9553.2</v>
      </c>
      <c r="L11" s="40">
        <f t="shared" si="4"/>
        <v>0</v>
      </c>
      <c r="M11" s="45">
        <v>113.7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870</v>
      </c>
      <c r="D12" s="28">
        <f>'ИНП 2023'!X12</f>
        <v>0.8205744207354843</v>
      </c>
      <c r="E12" s="28">
        <f>'ИБР 2023'!Y12</f>
        <v>1.487294583089093</v>
      </c>
      <c r="F12" s="36">
        <f t="shared" si="2"/>
        <v>0.5517228597922821</v>
      </c>
      <c r="G12" s="17">
        <f t="shared" si="0"/>
        <v>193.52329534874008</v>
      </c>
      <c r="H12" s="17">
        <f t="shared" si="1"/>
        <v>193.5</v>
      </c>
      <c r="I12" s="47">
        <f>3019+M12</f>
        <v>3074.9</v>
      </c>
      <c r="J12" s="40">
        <f t="shared" si="3"/>
        <v>3268.4</v>
      </c>
      <c r="K12" s="41">
        <v>3268.4</v>
      </c>
      <c r="L12" s="40">
        <f t="shared" si="4"/>
        <v>0</v>
      </c>
      <c r="M12" s="45">
        <v>55.9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1998</v>
      </c>
      <c r="D13" s="28">
        <f>'ИНП 2023'!X13</f>
        <v>0.964237714178598</v>
      </c>
      <c r="E13" s="28">
        <f>'ИБР 2023'!Y13</f>
        <v>1.014907527479856</v>
      </c>
      <c r="F13" s="36">
        <f t="shared" si="2"/>
        <v>0.9500744531602031</v>
      </c>
      <c r="G13" s="17">
        <f t="shared" si="0"/>
        <v>0</v>
      </c>
      <c r="H13" s="17">
        <f t="shared" si="1"/>
        <v>0</v>
      </c>
      <c r="I13" s="47">
        <f>7760.5+M13</f>
        <v>7889</v>
      </c>
      <c r="J13" s="40">
        <f t="shared" si="3"/>
        <v>7889</v>
      </c>
      <c r="K13" s="41">
        <v>7889</v>
      </c>
      <c r="L13" s="40">
        <f t="shared" si="4"/>
        <v>0</v>
      </c>
      <c r="M13" s="45">
        <v>128.5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727</v>
      </c>
      <c r="D14" s="28">
        <f>'ИНП 2023'!X14</f>
        <v>0.42592346647189216</v>
      </c>
      <c r="E14" s="28">
        <f>'ИБР 2023'!Y14</f>
        <v>1.9070402065575132</v>
      </c>
      <c r="F14" s="36">
        <f t="shared" si="2"/>
        <v>0.22334267783517076</v>
      </c>
      <c r="G14" s="17">
        <f t="shared" si="0"/>
        <v>1617.7676278398158</v>
      </c>
      <c r="H14" s="17">
        <f t="shared" si="1"/>
        <v>1617.8</v>
      </c>
      <c r="I14" s="47">
        <f>1332.9+M14</f>
        <v>1379.6000000000001</v>
      </c>
      <c r="J14" s="40">
        <f t="shared" si="3"/>
        <v>2997.4</v>
      </c>
      <c r="K14" s="41">
        <v>2997.4</v>
      </c>
      <c r="L14" s="40">
        <f t="shared" si="4"/>
        <v>0</v>
      </c>
      <c r="M14" s="45">
        <v>46.7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1949</v>
      </c>
      <c r="D15" s="28">
        <f>'ИНП 2023'!X15</f>
        <v>0.4573943036818958</v>
      </c>
      <c r="E15" s="28">
        <f>'ИБР 2023'!Y15</f>
        <v>1.0961088656234126</v>
      </c>
      <c r="F15" s="36">
        <f t="shared" si="2"/>
        <v>0.4172891197461053</v>
      </c>
      <c r="G15" s="17">
        <f t="shared" si="0"/>
        <v>1209.2202334685728</v>
      </c>
      <c r="H15" s="17">
        <f t="shared" si="1"/>
        <v>1209.2</v>
      </c>
      <c r="I15" s="47">
        <f>3171.1+M15</f>
        <v>3296.4</v>
      </c>
      <c r="J15" s="40">
        <f t="shared" si="3"/>
        <v>4505.6</v>
      </c>
      <c r="K15" s="41">
        <v>4505.6</v>
      </c>
      <c r="L15" s="40">
        <f t="shared" si="4"/>
        <v>0</v>
      </c>
      <c r="M15" s="45">
        <v>125.3</v>
      </c>
      <c r="N15" s="51"/>
      <c r="P15" s="54"/>
      <c r="Q15" s="44"/>
    </row>
    <row r="16" spans="1:17" ht="14.25">
      <c r="A16" s="12"/>
      <c r="B16" s="13" t="s">
        <v>11</v>
      </c>
      <c r="C16" s="13">
        <f>SUM(C6:C15)</f>
        <v>26635</v>
      </c>
      <c r="D16" s="37">
        <f>'ИНП 2023'!X16</f>
        <v>1</v>
      </c>
      <c r="E16" s="37">
        <f>'ИБР 2023'!Y16</f>
        <v>1</v>
      </c>
      <c r="F16" s="38">
        <f t="shared" si="2"/>
        <v>1</v>
      </c>
      <c r="G16" s="39">
        <f>SUM(G6:G15)</f>
        <v>3020.5111566571286</v>
      </c>
      <c r="H16" s="39">
        <f t="shared" si="1"/>
        <v>3020.5</v>
      </c>
      <c r="I16" s="39">
        <f>I6+I7+I8+I9+I10+I11+I12+I13+I14+I15</f>
        <v>84226.7</v>
      </c>
      <c r="J16" s="39">
        <f t="shared" si="3"/>
        <v>87247.2</v>
      </c>
      <c r="K16" s="39">
        <f>SUM(K6:K15)</f>
        <v>87247.2</v>
      </c>
      <c r="L16" s="39">
        <f t="shared" si="4"/>
        <v>0</v>
      </c>
      <c r="M16" s="56">
        <f>SUM(M6:M15)</f>
        <v>1712.6000000000001</v>
      </c>
      <c r="N16" s="51"/>
      <c r="P16" s="54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82514.1</v>
      </c>
      <c r="I18" s="44">
        <f>I16-G18</f>
        <v>1712.5999999999913</v>
      </c>
      <c r="L18" s="44"/>
      <c r="N18" s="52"/>
      <c r="Q18" s="44"/>
    </row>
    <row r="19" spans="12:14" ht="14.25">
      <c r="L19" s="44"/>
      <c r="N19" s="51"/>
    </row>
    <row r="20" ht="11.25">
      <c r="G20" s="44"/>
    </row>
    <row r="21" ht="11.25">
      <c r="G21" s="44"/>
    </row>
  </sheetData>
  <sheetProtection/>
  <mergeCells count="13">
    <mergeCell ref="I3:I4"/>
    <mergeCell ref="J3:J4"/>
    <mergeCell ref="K3:K4"/>
    <mergeCell ref="L3:L4"/>
    <mergeCell ref="C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kulikova</cp:lastModifiedBy>
  <cp:lastPrinted>2022-11-16T11:33:57Z</cp:lastPrinted>
  <dcterms:created xsi:type="dcterms:W3CDTF">2008-12-18T12:36:24Z</dcterms:created>
  <dcterms:modified xsi:type="dcterms:W3CDTF">2022-11-16T11:54:36Z</dcterms:modified>
  <cp:category/>
  <cp:version/>
  <cp:contentType/>
  <cp:contentStatus/>
</cp:coreProperties>
</file>